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20115" windowHeight="7995" activeTab="3"/>
  </bookViews>
  <sheets>
    <sheet name="List1" sheetId="1" r:id="rId1"/>
    <sheet name="List3" sheetId="3" r:id="rId2"/>
    <sheet name="Pokus1" sheetId="2" r:id="rId3"/>
    <sheet name="pokus2" sheetId="4" r:id="rId4"/>
  </sheets>
  <definedNames>
    <definedName name="_xlnm.Print_Area" localSheetId="0">List1!$A$1:$F$33</definedName>
  </definedNames>
  <calcPr calcId="114210"/>
</workbook>
</file>

<file path=xl/calcChain.xml><?xml version="1.0" encoding="utf-8"?>
<calcChain xmlns="http://schemas.openxmlformats.org/spreadsheetml/2006/main">
  <c r="F4" i="2"/>
  <c r="F5"/>
  <c r="F6"/>
  <c r="F7"/>
  <c r="F8"/>
  <c r="F9"/>
  <c r="F10"/>
  <c r="F17"/>
  <c r="F24"/>
  <c r="F31"/>
  <c r="F38"/>
  <c r="F45"/>
  <c r="F52"/>
  <c r="F59"/>
  <c r="M59"/>
  <c r="M52"/>
  <c r="M45"/>
  <c r="M38"/>
  <c r="M31"/>
  <c r="M24"/>
  <c r="M17"/>
  <c r="M10"/>
  <c r="K57" i="4"/>
  <c r="K56"/>
  <c r="K55"/>
  <c r="K54"/>
  <c r="K53"/>
  <c r="K50"/>
  <c r="K49"/>
  <c r="K48"/>
  <c r="K47"/>
  <c r="K46"/>
  <c r="K43"/>
  <c r="K42"/>
  <c r="K41"/>
  <c r="K40"/>
  <c r="K39"/>
  <c r="K36"/>
  <c r="K35"/>
  <c r="K34"/>
  <c r="K33"/>
  <c r="K32"/>
  <c r="K29"/>
  <c r="K28"/>
  <c r="K27"/>
  <c r="K26"/>
  <c r="K25"/>
  <c r="K22"/>
  <c r="K21"/>
  <c r="K20"/>
  <c r="K19"/>
  <c r="K18"/>
  <c r="K15"/>
  <c r="K14"/>
  <c r="K13"/>
  <c r="K12"/>
  <c r="K11"/>
  <c r="E57"/>
  <c r="D57"/>
  <c r="E56"/>
  <c r="D56"/>
  <c r="E55"/>
  <c r="D55"/>
  <c r="E54"/>
  <c r="D54"/>
  <c r="E53"/>
  <c r="D53"/>
  <c r="E50"/>
  <c r="D50"/>
  <c r="E49"/>
  <c r="D49"/>
  <c r="E48"/>
  <c r="D48"/>
  <c r="E47"/>
  <c r="D47"/>
  <c r="E46"/>
  <c r="D46"/>
  <c r="E43"/>
  <c r="D43"/>
  <c r="E42"/>
  <c r="D42"/>
  <c r="E41"/>
  <c r="D41"/>
  <c r="E40"/>
  <c r="D40"/>
  <c r="E39"/>
  <c r="D39"/>
  <c r="E36"/>
  <c r="D36"/>
  <c r="E35"/>
  <c r="D35"/>
  <c r="E34"/>
  <c r="D34"/>
  <c r="E33"/>
  <c r="D33"/>
  <c r="E32"/>
  <c r="D32"/>
  <c r="E29"/>
  <c r="D29"/>
  <c r="E28"/>
  <c r="D28"/>
  <c r="E27"/>
  <c r="D27"/>
  <c r="E26"/>
  <c r="D26"/>
  <c r="E25"/>
  <c r="D25"/>
  <c r="E22"/>
  <c r="D22"/>
  <c r="E21"/>
  <c r="D21"/>
  <c r="E20"/>
  <c r="D20"/>
  <c r="E19"/>
  <c r="D19"/>
  <c r="E18"/>
  <c r="D18"/>
  <c r="E15"/>
  <c r="D15"/>
  <c r="E14"/>
  <c r="D14"/>
  <c r="E13"/>
  <c r="D13"/>
  <c r="E12"/>
  <c r="D12"/>
  <c r="E11"/>
  <c r="D11"/>
  <c r="F11"/>
  <c r="F12"/>
  <c r="F13"/>
  <c r="F14"/>
  <c r="F15"/>
  <c r="F16"/>
  <c r="K8"/>
  <c r="K7"/>
  <c r="K6"/>
  <c r="K5"/>
  <c r="K4"/>
  <c r="E8"/>
  <c r="D8"/>
  <c r="E7"/>
  <c r="D7"/>
  <c r="E6"/>
  <c r="D6"/>
  <c r="E5"/>
  <c r="D5"/>
  <c r="E4"/>
  <c r="D4"/>
  <c r="F4"/>
  <c r="M4"/>
  <c r="P4"/>
  <c r="Q4"/>
  <c r="R4"/>
  <c r="U4"/>
  <c r="V4"/>
  <c r="W4"/>
  <c r="F5"/>
  <c r="M5"/>
  <c r="P5"/>
  <c r="Q5"/>
  <c r="R5"/>
  <c r="U5"/>
  <c r="V5"/>
  <c r="W5"/>
  <c r="F6"/>
  <c r="M6"/>
  <c r="P6"/>
  <c r="Q6"/>
  <c r="R6"/>
  <c r="U6"/>
  <c r="V6"/>
  <c r="W6"/>
  <c r="F7"/>
  <c r="M7"/>
  <c r="P7"/>
  <c r="Q7"/>
  <c r="R7"/>
  <c r="U7"/>
  <c r="V7"/>
  <c r="W7"/>
  <c r="F8"/>
  <c r="M8"/>
  <c r="P8"/>
  <c r="Q8"/>
  <c r="R8"/>
  <c r="U8"/>
  <c r="V8"/>
  <c r="W8"/>
  <c r="F9"/>
  <c r="M9"/>
  <c r="P9"/>
  <c r="Q9"/>
  <c r="R9"/>
  <c r="U9"/>
  <c r="V9"/>
  <c r="W9"/>
  <c r="D10"/>
  <c r="E10"/>
  <c r="F10"/>
  <c r="K10"/>
  <c r="L10"/>
  <c r="M10"/>
  <c r="P10"/>
  <c r="Q10"/>
  <c r="R10"/>
  <c r="U10"/>
  <c r="V10"/>
  <c r="W10"/>
  <c r="M11"/>
  <c r="P11"/>
  <c r="Q11"/>
  <c r="R11"/>
  <c r="U11"/>
  <c r="V11"/>
  <c r="W11"/>
  <c r="M12"/>
  <c r="P12"/>
  <c r="Q12"/>
  <c r="R12"/>
  <c r="U12"/>
  <c r="V12"/>
  <c r="W12"/>
  <c r="M13"/>
  <c r="P13"/>
  <c r="Q13"/>
  <c r="R13"/>
  <c r="U13"/>
  <c r="V13"/>
  <c r="W13"/>
  <c r="M14"/>
  <c r="P14"/>
  <c r="Q14"/>
  <c r="R14"/>
  <c r="U14"/>
  <c r="V14"/>
  <c r="W14"/>
  <c r="M15"/>
  <c r="P15"/>
  <c r="Q15"/>
  <c r="R15"/>
  <c r="U15"/>
  <c r="V15"/>
  <c r="W15"/>
  <c r="M16"/>
  <c r="P16"/>
  <c r="Q16"/>
  <c r="R16"/>
  <c r="U16"/>
  <c r="V16"/>
  <c r="W16"/>
  <c r="D17"/>
  <c r="E17"/>
  <c r="F17"/>
  <c r="K17"/>
  <c r="L17"/>
  <c r="M17"/>
  <c r="P17"/>
  <c r="Q17"/>
  <c r="R17"/>
  <c r="U17"/>
  <c r="V17"/>
  <c r="W17"/>
  <c r="F18"/>
  <c r="M18"/>
  <c r="P18"/>
  <c r="Q18"/>
  <c r="R18"/>
  <c r="U18"/>
  <c r="V18"/>
  <c r="W18"/>
  <c r="F19"/>
  <c r="M19"/>
  <c r="P19"/>
  <c r="Q19"/>
  <c r="R19"/>
  <c r="U19"/>
  <c r="V19"/>
  <c r="W19"/>
  <c r="F20"/>
  <c r="M20"/>
  <c r="P20"/>
  <c r="Q20"/>
  <c r="R20"/>
  <c r="U20"/>
  <c r="V20"/>
  <c r="W20"/>
  <c r="F21"/>
  <c r="M21"/>
  <c r="P21"/>
  <c r="Q21"/>
  <c r="R21"/>
  <c r="U21"/>
  <c r="V21"/>
  <c r="W21"/>
  <c r="F22"/>
  <c r="M22"/>
  <c r="P22"/>
  <c r="Q22"/>
  <c r="R22"/>
  <c r="U22"/>
  <c r="V22"/>
  <c r="W22"/>
  <c r="F23"/>
  <c r="M23"/>
  <c r="P23"/>
  <c r="Q23"/>
  <c r="R23"/>
  <c r="U23"/>
  <c r="V23"/>
  <c r="W23"/>
  <c r="D24"/>
  <c r="E24"/>
  <c r="F24"/>
  <c r="K24"/>
  <c r="L24"/>
  <c r="M24"/>
  <c r="P24"/>
  <c r="Q24"/>
  <c r="R24"/>
  <c r="U24"/>
  <c r="V24"/>
  <c r="W24"/>
  <c r="F25"/>
  <c r="M25"/>
  <c r="P25"/>
  <c r="Q25"/>
  <c r="R25"/>
  <c r="U25"/>
  <c r="V25"/>
  <c r="W25"/>
  <c r="F26"/>
  <c r="M26"/>
  <c r="P26"/>
  <c r="Q26"/>
  <c r="R26"/>
  <c r="U26"/>
  <c r="V26"/>
  <c r="W26"/>
  <c r="F27"/>
  <c r="M27"/>
  <c r="P27"/>
  <c r="Q27"/>
  <c r="R27"/>
  <c r="U27"/>
  <c r="V27"/>
  <c r="W27"/>
  <c r="F28"/>
  <c r="M28"/>
  <c r="P28"/>
  <c r="Q28"/>
  <c r="R28"/>
  <c r="U28"/>
  <c r="V28"/>
  <c r="W28"/>
  <c r="F29"/>
  <c r="M29"/>
  <c r="P29"/>
  <c r="Q29"/>
  <c r="R29"/>
  <c r="U29"/>
  <c r="V29"/>
  <c r="W29"/>
  <c r="F30"/>
  <c r="M30"/>
  <c r="P30"/>
  <c r="Q30"/>
  <c r="R30"/>
  <c r="U30"/>
  <c r="V30"/>
  <c r="W30"/>
  <c r="D31"/>
  <c r="E31"/>
  <c r="F31"/>
  <c r="K31"/>
  <c r="L31"/>
  <c r="M31"/>
  <c r="P31"/>
  <c r="Q31"/>
  <c r="R31"/>
  <c r="U31"/>
  <c r="V31"/>
  <c r="W31"/>
  <c r="F32"/>
  <c r="M32"/>
  <c r="P32"/>
  <c r="Q32"/>
  <c r="R32"/>
  <c r="U32"/>
  <c r="V32"/>
  <c r="W32"/>
  <c r="F33"/>
  <c r="M33"/>
  <c r="P33"/>
  <c r="Q33"/>
  <c r="R33"/>
  <c r="U33"/>
  <c r="V33"/>
  <c r="W33"/>
  <c r="F34"/>
  <c r="M34"/>
  <c r="P34"/>
  <c r="Q34"/>
  <c r="R34"/>
  <c r="U34"/>
  <c r="V34"/>
  <c r="W34"/>
  <c r="F35"/>
  <c r="M35"/>
  <c r="P35"/>
  <c r="Q35"/>
  <c r="R35"/>
  <c r="U35"/>
  <c r="V35"/>
  <c r="W35"/>
  <c r="F36"/>
  <c r="M36"/>
  <c r="P36"/>
  <c r="Q36"/>
  <c r="R36"/>
  <c r="U36"/>
  <c r="V36"/>
  <c r="W36"/>
  <c r="F37"/>
  <c r="M37"/>
  <c r="P37"/>
  <c r="Q37"/>
  <c r="R37"/>
  <c r="U37"/>
  <c r="V37"/>
  <c r="W37"/>
  <c r="D38"/>
  <c r="E38"/>
  <c r="F38"/>
  <c r="K38"/>
  <c r="L38"/>
  <c r="M38"/>
  <c r="P38"/>
  <c r="Q38"/>
  <c r="R38"/>
  <c r="U38"/>
  <c r="V38"/>
  <c r="W38"/>
  <c r="F39"/>
  <c r="M39"/>
  <c r="P39"/>
  <c r="Q39"/>
  <c r="R39"/>
  <c r="U39"/>
  <c r="V39"/>
  <c r="W39"/>
  <c r="F40"/>
  <c r="M40"/>
  <c r="P40"/>
  <c r="Q40"/>
  <c r="R40"/>
  <c r="U40"/>
  <c r="V40"/>
  <c r="W40"/>
  <c r="F41"/>
  <c r="M41"/>
  <c r="P41"/>
  <c r="Q41"/>
  <c r="R41"/>
  <c r="U41"/>
  <c r="V41"/>
  <c r="W41"/>
  <c r="F42"/>
  <c r="M42"/>
  <c r="P42"/>
  <c r="Q42"/>
  <c r="R42"/>
  <c r="U42"/>
  <c r="V42"/>
  <c r="W42"/>
  <c r="F43"/>
  <c r="M43"/>
  <c r="P43"/>
  <c r="Q43"/>
  <c r="R43"/>
  <c r="U43"/>
  <c r="V43"/>
  <c r="W43"/>
  <c r="F44"/>
  <c r="M44"/>
  <c r="P44"/>
  <c r="Q44"/>
  <c r="R44"/>
  <c r="U44"/>
  <c r="V44"/>
  <c r="W44"/>
  <c r="D45"/>
  <c r="E45"/>
  <c r="F45"/>
  <c r="K45"/>
  <c r="L45"/>
  <c r="M45"/>
  <c r="P45"/>
  <c r="Q45"/>
  <c r="R45"/>
  <c r="U45"/>
  <c r="V45"/>
  <c r="W45"/>
  <c r="F46"/>
  <c r="M46"/>
  <c r="P46"/>
  <c r="Q46"/>
  <c r="R46"/>
  <c r="U46"/>
  <c r="V46"/>
  <c r="W46"/>
  <c r="F47"/>
  <c r="M47"/>
  <c r="P47"/>
  <c r="Q47"/>
  <c r="R47"/>
  <c r="U47"/>
  <c r="V47"/>
  <c r="W47"/>
  <c r="F48"/>
  <c r="M48"/>
  <c r="P48"/>
  <c r="Q48"/>
  <c r="R48"/>
  <c r="U48"/>
  <c r="V48"/>
  <c r="W48"/>
  <c r="F49"/>
  <c r="M49"/>
  <c r="P49"/>
  <c r="Q49"/>
  <c r="R49"/>
  <c r="U49"/>
  <c r="V49"/>
  <c r="W49"/>
  <c r="F50"/>
  <c r="M50"/>
  <c r="P50"/>
  <c r="Q50"/>
  <c r="R50"/>
  <c r="U50"/>
  <c r="V50"/>
  <c r="W50"/>
  <c r="F51"/>
  <c r="M51"/>
  <c r="P51"/>
  <c r="Q51"/>
  <c r="R51"/>
  <c r="U51"/>
  <c r="V51"/>
  <c r="W51"/>
  <c r="D52"/>
  <c r="E52"/>
  <c r="F52"/>
  <c r="K52"/>
  <c r="L52"/>
  <c r="M52"/>
  <c r="P52"/>
  <c r="Q52"/>
  <c r="R52"/>
  <c r="U52"/>
  <c r="V52"/>
  <c r="W52"/>
  <c r="F53"/>
  <c r="M53"/>
  <c r="P53"/>
  <c r="Q53"/>
  <c r="R53"/>
  <c r="U53"/>
  <c r="V53"/>
  <c r="W53"/>
  <c r="F54"/>
  <c r="M54"/>
  <c r="P54"/>
  <c r="Q54"/>
  <c r="R54"/>
  <c r="U54"/>
  <c r="V54"/>
  <c r="W54"/>
  <c r="F55"/>
  <c r="M55"/>
  <c r="P55"/>
  <c r="Q55"/>
  <c r="R55"/>
  <c r="U55"/>
  <c r="V55"/>
  <c r="W55"/>
  <c r="F56"/>
  <c r="M56"/>
  <c r="P56"/>
  <c r="Q56"/>
  <c r="R56"/>
  <c r="U56"/>
  <c r="V56"/>
  <c r="W56"/>
  <c r="F57"/>
  <c r="M57"/>
  <c r="P57"/>
  <c r="Q57"/>
  <c r="R57"/>
  <c r="U57"/>
  <c r="V57"/>
  <c r="W57"/>
  <c r="F58"/>
  <c r="M58"/>
  <c r="P58"/>
  <c r="Q58"/>
  <c r="R58"/>
  <c r="U58"/>
  <c r="V58"/>
  <c r="W58"/>
  <c r="D59"/>
  <c r="E59"/>
  <c r="F59"/>
  <c r="K59"/>
  <c r="L59"/>
  <c r="M59"/>
  <c r="P59"/>
  <c r="Q59"/>
  <c r="R59"/>
  <c r="U59"/>
  <c r="V59"/>
  <c r="W59"/>
  <c r="F66"/>
  <c r="F67"/>
  <c r="G67"/>
  <c r="F68"/>
  <c r="G68"/>
  <c r="F69"/>
  <c r="G69"/>
  <c r="K53" i="2"/>
  <c r="K54"/>
  <c r="K55"/>
  <c r="K56"/>
  <c r="K57"/>
  <c r="K59"/>
  <c r="U59"/>
  <c r="L59"/>
  <c r="V59"/>
  <c r="W59"/>
  <c r="U58"/>
  <c r="V58"/>
  <c r="W58"/>
  <c r="U57"/>
  <c r="V57"/>
  <c r="W57"/>
  <c r="U56"/>
  <c r="V56"/>
  <c r="W56"/>
  <c r="U55"/>
  <c r="V55"/>
  <c r="W55"/>
  <c r="U54"/>
  <c r="V54"/>
  <c r="W54"/>
  <c r="U53"/>
  <c r="V53"/>
  <c r="W53"/>
  <c r="K46"/>
  <c r="K47"/>
  <c r="K48"/>
  <c r="K49"/>
  <c r="K50"/>
  <c r="K52"/>
  <c r="U52"/>
  <c r="L52"/>
  <c r="V52"/>
  <c r="W52"/>
  <c r="U51"/>
  <c r="V51"/>
  <c r="W51"/>
  <c r="U50"/>
  <c r="V50"/>
  <c r="W50"/>
  <c r="U49"/>
  <c r="V49"/>
  <c r="W49"/>
  <c r="U48"/>
  <c r="V48"/>
  <c r="W48"/>
  <c r="U47"/>
  <c r="V47"/>
  <c r="W47"/>
  <c r="U46"/>
  <c r="V46"/>
  <c r="W46"/>
  <c r="K39"/>
  <c r="K40"/>
  <c r="K41"/>
  <c r="K42"/>
  <c r="K43"/>
  <c r="K45"/>
  <c r="U45"/>
  <c r="L45"/>
  <c r="V45"/>
  <c r="W45"/>
  <c r="U44"/>
  <c r="V44"/>
  <c r="W44"/>
  <c r="U43"/>
  <c r="V43"/>
  <c r="W43"/>
  <c r="U42"/>
  <c r="V42"/>
  <c r="W42"/>
  <c r="U41"/>
  <c r="V41"/>
  <c r="W41"/>
  <c r="U40"/>
  <c r="V40"/>
  <c r="W40"/>
  <c r="U39"/>
  <c r="V39"/>
  <c r="W39"/>
  <c r="K32"/>
  <c r="K33"/>
  <c r="K34"/>
  <c r="K35"/>
  <c r="K36"/>
  <c r="K38"/>
  <c r="U38"/>
  <c r="L38"/>
  <c r="V38"/>
  <c r="W38"/>
  <c r="U37"/>
  <c r="V37"/>
  <c r="W37"/>
  <c r="U36"/>
  <c r="V36"/>
  <c r="W36"/>
  <c r="U35"/>
  <c r="V35"/>
  <c r="W35"/>
  <c r="U34"/>
  <c r="V34"/>
  <c r="W34"/>
  <c r="U33"/>
  <c r="V33"/>
  <c r="W33"/>
  <c r="U32"/>
  <c r="V32"/>
  <c r="W32"/>
  <c r="K25"/>
  <c r="K26"/>
  <c r="K27"/>
  <c r="K28"/>
  <c r="K29"/>
  <c r="K31"/>
  <c r="U31"/>
  <c r="L31"/>
  <c r="V31"/>
  <c r="W31"/>
  <c r="U30"/>
  <c r="V30"/>
  <c r="W30"/>
  <c r="U29"/>
  <c r="V29"/>
  <c r="W29"/>
  <c r="U28"/>
  <c r="V28"/>
  <c r="W28"/>
  <c r="U27"/>
  <c r="V27"/>
  <c r="W27"/>
  <c r="U26"/>
  <c r="V26"/>
  <c r="W26"/>
  <c r="U25"/>
  <c r="V25"/>
  <c r="W25"/>
  <c r="K18"/>
  <c r="K19"/>
  <c r="K20"/>
  <c r="K21"/>
  <c r="K22"/>
  <c r="K24"/>
  <c r="U24"/>
  <c r="L24"/>
  <c r="V24"/>
  <c r="W24"/>
  <c r="U23"/>
  <c r="V23"/>
  <c r="W23"/>
  <c r="U22"/>
  <c r="V22"/>
  <c r="W22"/>
  <c r="U21"/>
  <c r="V21"/>
  <c r="W21"/>
  <c r="U20"/>
  <c r="V20"/>
  <c r="W20"/>
  <c r="U19"/>
  <c r="V19"/>
  <c r="W19"/>
  <c r="U18"/>
  <c r="V18"/>
  <c r="W18"/>
  <c r="K11"/>
  <c r="K12"/>
  <c r="K13"/>
  <c r="K14"/>
  <c r="K15"/>
  <c r="K17"/>
  <c r="U17"/>
  <c r="L17"/>
  <c r="V17"/>
  <c r="W17"/>
  <c r="U16"/>
  <c r="V16"/>
  <c r="W16"/>
  <c r="U15"/>
  <c r="V15"/>
  <c r="W15"/>
  <c r="U14"/>
  <c r="V14"/>
  <c r="W14"/>
  <c r="U13"/>
  <c r="V13"/>
  <c r="W13"/>
  <c r="U12"/>
  <c r="V12"/>
  <c r="W12"/>
  <c r="U11"/>
  <c r="V11"/>
  <c r="W11"/>
  <c r="K4"/>
  <c r="K5"/>
  <c r="K6"/>
  <c r="K7"/>
  <c r="K8"/>
  <c r="K10"/>
  <c r="U10"/>
  <c r="L10"/>
  <c r="V10"/>
  <c r="W10"/>
  <c r="U9"/>
  <c r="V9"/>
  <c r="W9"/>
  <c r="U8"/>
  <c r="V8"/>
  <c r="W8"/>
  <c r="U7"/>
  <c r="V7"/>
  <c r="W7"/>
  <c r="U6"/>
  <c r="V6"/>
  <c r="W6"/>
  <c r="U5"/>
  <c r="V5"/>
  <c r="W5"/>
  <c r="U4"/>
  <c r="V4"/>
  <c r="W4"/>
  <c r="D4"/>
  <c r="P4"/>
  <c r="D53"/>
  <c r="D54"/>
  <c r="D55"/>
  <c r="D56"/>
  <c r="D57"/>
  <c r="D59"/>
  <c r="P59"/>
  <c r="E53"/>
  <c r="E54"/>
  <c r="E55"/>
  <c r="E56"/>
  <c r="E57"/>
  <c r="E59"/>
  <c r="Q59"/>
  <c r="R59"/>
  <c r="P58"/>
  <c r="Q58"/>
  <c r="R58"/>
  <c r="P57"/>
  <c r="Q57"/>
  <c r="R57"/>
  <c r="P56"/>
  <c r="Q56"/>
  <c r="R56"/>
  <c r="P55"/>
  <c r="Q55"/>
  <c r="R55"/>
  <c r="P54"/>
  <c r="Q54"/>
  <c r="R54"/>
  <c r="P53"/>
  <c r="Q53"/>
  <c r="R53"/>
  <c r="D46"/>
  <c r="D47"/>
  <c r="D48"/>
  <c r="D49"/>
  <c r="D50"/>
  <c r="D52"/>
  <c r="P52"/>
  <c r="E46"/>
  <c r="E47"/>
  <c r="E48"/>
  <c r="E49"/>
  <c r="E50"/>
  <c r="E52"/>
  <c r="Q52"/>
  <c r="R52"/>
  <c r="P51"/>
  <c r="Q51"/>
  <c r="R51"/>
  <c r="P50"/>
  <c r="Q50"/>
  <c r="R50"/>
  <c r="P49"/>
  <c r="Q49"/>
  <c r="R49"/>
  <c r="P48"/>
  <c r="Q48"/>
  <c r="R48"/>
  <c r="P47"/>
  <c r="Q47"/>
  <c r="R47"/>
  <c r="P46"/>
  <c r="Q46"/>
  <c r="R46"/>
  <c r="D39"/>
  <c r="D40"/>
  <c r="D41"/>
  <c r="D42"/>
  <c r="D43"/>
  <c r="D45"/>
  <c r="P45"/>
  <c r="E39"/>
  <c r="E40"/>
  <c r="E41"/>
  <c r="E42"/>
  <c r="E43"/>
  <c r="E45"/>
  <c r="Q45"/>
  <c r="R45"/>
  <c r="P44"/>
  <c r="Q44"/>
  <c r="R44"/>
  <c r="P43"/>
  <c r="Q43"/>
  <c r="R43"/>
  <c r="P42"/>
  <c r="Q42"/>
  <c r="R42"/>
  <c r="P41"/>
  <c r="Q41"/>
  <c r="R41"/>
  <c r="P40"/>
  <c r="Q40"/>
  <c r="R40"/>
  <c r="P39"/>
  <c r="Q39"/>
  <c r="R39"/>
  <c r="D32"/>
  <c r="D33"/>
  <c r="D34"/>
  <c r="D35"/>
  <c r="D36"/>
  <c r="D38"/>
  <c r="P38"/>
  <c r="E32"/>
  <c r="E33"/>
  <c r="E34"/>
  <c r="E35"/>
  <c r="E36"/>
  <c r="E38"/>
  <c r="Q38"/>
  <c r="R38"/>
  <c r="P37"/>
  <c r="Q37"/>
  <c r="R37"/>
  <c r="P36"/>
  <c r="Q36"/>
  <c r="R36"/>
  <c r="P35"/>
  <c r="Q35"/>
  <c r="R35"/>
  <c r="P34"/>
  <c r="Q34"/>
  <c r="R34"/>
  <c r="P33"/>
  <c r="Q33"/>
  <c r="R33"/>
  <c r="P32"/>
  <c r="Q32"/>
  <c r="R32"/>
  <c r="D25"/>
  <c r="D26"/>
  <c r="D27"/>
  <c r="D28"/>
  <c r="D29"/>
  <c r="D31"/>
  <c r="P31"/>
  <c r="E25"/>
  <c r="E26"/>
  <c r="E27"/>
  <c r="E28"/>
  <c r="E29"/>
  <c r="E31"/>
  <c r="Q31"/>
  <c r="R31"/>
  <c r="P30"/>
  <c r="Q30"/>
  <c r="R30"/>
  <c r="P29"/>
  <c r="Q29"/>
  <c r="R29"/>
  <c r="P28"/>
  <c r="Q28"/>
  <c r="R28"/>
  <c r="P27"/>
  <c r="Q27"/>
  <c r="R27"/>
  <c r="P26"/>
  <c r="Q26"/>
  <c r="R26"/>
  <c r="P25"/>
  <c r="Q25"/>
  <c r="R25"/>
  <c r="D18"/>
  <c r="D19"/>
  <c r="D20"/>
  <c r="D21"/>
  <c r="D22"/>
  <c r="D24"/>
  <c r="P24"/>
  <c r="E18"/>
  <c r="E19"/>
  <c r="E20"/>
  <c r="E21"/>
  <c r="E22"/>
  <c r="E24"/>
  <c r="Q24"/>
  <c r="R24"/>
  <c r="P23"/>
  <c r="Q23"/>
  <c r="R23"/>
  <c r="P22"/>
  <c r="Q22"/>
  <c r="R22"/>
  <c r="P21"/>
  <c r="Q21"/>
  <c r="R21"/>
  <c r="P20"/>
  <c r="Q20"/>
  <c r="R20"/>
  <c r="P19"/>
  <c r="Q19"/>
  <c r="R19"/>
  <c r="P18"/>
  <c r="Q18"/>
  <c r="R18"/>
  <c r="D11"/>
  <c r="D12"/>
  <c r="D13"/>
  <c r="D14"/>
  <c r="D15"/>
  <c r="D17"/>
  <c r="P17"/>
  <c r="E11"/>
  <c r="E12"/>
  <c r="E13"/>
  <c r="E14"/>
  <c r="E15"/>
  <c r="E17"/>
  <c r="Q17"/>
  <c r="R17"/>
  <c r="P16"/>
  <c r="Q16"/>
  <c r="R16"/>
  <c r="P15"/>
  <c r="Q15"/>
  <c r="R15"/>
  <c r="P14"/>
  <c r="Q14"/>
  <c r="R14"/>
  <c r="P13"/>
  <c r="Q13"/>
  <c r="R13"/>
  <c r="P12"/>
  <c r="Q12"/>
  <c r="R12"/>
  <c r="P11"/>
  <c r="Q11"/>
  <c r="R11"/>
  <c r="D5"/>
  <c r="D6"/>
  <c r="D7"/>
  <c r="D8"/>
  <c r="D10"/>
  <c r="P10"/>
  <c r="E4"/>
  <c r="E5"/>
  <c r="E6"/>
  <c r="E7"/>
  <c r="E8"/>
  <c r="E10"/>
  <c r="Q10"/>
  <c r="R10"/>
  <c r="P9"/>
  <c r="Q9"/>
  <c r="R9"/>
  <c r="P8"/>
  <c r="Q8"/>
  <c r="R8"/>
  <c r="P7"/>
  <c r="Q7"/>
  <c r="R7"/>
  <c r="P6"/>
  <c r="Q6"/>
  <c r="R6"/>
  <c r="P5"/>
  <c r="Q5"/>
  <c r="R5"/>
  <c r="Q4"/>
  <c r="R4"/>
  <c r="F58"/>
  <c r="F53"/>
  <c r="F54"/>
  <c r="F55"/>
  <c r="F56"/>
  <c r="F57"/>
  <c r="M4"/>
  <c r="M5"/>
  <c r="M6"/>
  <c r="M7"/>
  <c r="M8"/>
  <c r="M9"/>
  <c r="F11"/>
  <c r="F12"/>
  <c r="F13"/>
  <c r="F14"/>
  <c r="F15"/>
  <c r="F16"/>
  <c r="M11"/>
  <c r="M12"/>
  <c r="M13"/>
  <c r="M14"/>
  <c r="M15"/>
  <c r="M16"/>
  <c r="F18"/>
  <c r="F19"/>
  <c r="F20"/>
  <c r="F21"/>
  <c r="F22"/>
  <c r="F23"/>
  <c r="M18"/>
  <c r="M19"/>
  <c r="M20"/>
  <c r="M21"/>
  <c r="M22"/>
  <c r="M23"/>
  <c r="F25"/>
  <c r="F26"/>
  <c r="F27"/>
  <c r="F28"/>
  <c r="F29"/>
  <c r="F30"/>
  <c r="M25"/>
  <c r="M26"/>
  <c r="M27"/>
  <c r="M28"/>
  <c r="M29"/>
  <c r="M30"/>
  <c r="F32"/>
  <c r="F33"/>
  <c r="F34"/>
  <c r="F35"/>
  <c r="F36"/>
  <c r="F37"/>
  <c r="M32"/>
  <c r="M33"/>
  <c r="M34"/>
  <c r="M35"/>
  <c r="M36"/>
  <c r="M37"/>
  <c r="F39"/>
  <c r="F40"/>
  <c r="F41"/>
  <c r="F42"/>
  <c r="F43"/>
  <c r="F44"/>
  <c r="M39"/>
  <c r="M40"/>
  <c r="M41"/>
  <c r="M42"/>
  <c r="M43"/>
  <c r="M44"/>
  <c r="F46"/>
  <c r="F47"/>
  <c r="F48"/>
  <c r="F49"/>
  <c r="F50"/>
  <c r="F51"/>
  <c r="M46"/>
  <c r="M47"/>
  <c r="M48"/>
  <c r="M49"/>
  <c r="M50"/>
  <c r="M51"/>
  <c r="M53"/>
  <c r="M54"/>
  <c r="M55"/>
  <c r="M56"/>
  <c r="M57"/>
  <c r="M58"/>
  <c r="F66"/>
  <c r="F69"/>
  <c r="G69"/>
  <c r="F68"/>
  <c r="G68"/>
  <c r="F67"/>
  <c r="G67"/>
  <c r="G21" i="1"/>
  <c r="G15"/>
  <c r="G9"/>
  <c r="G3"/>
  <c r="W4"/>
  <c r="W5"/>
  <c r="W6"/>
  <c r="V7"/>
  <c r="W7"/>
  <c r="W8"/>
  <c r="J30"/>
  <c r="R18"/>
  <c r="R21"/>
  <c r="R22"/>
  <c r="J31"/>
  <c r="W18"/>
  <c r="W19"/>
  <c r="W20"/>
  <c r="V21"/>
  <c r="W21"/>
  <c r="W22"/>
  <c r="J32"/>
  <c r="R32"/>
  <c r="R35"/>
  <c r="R36"/>
  <c r="J33"/>
  <c r="R4"/>
  <c r="R5"/>
  <c r="R6"/>
  <c r="Q7"/>
  <c r="R7"/>
  <c r="R8"/>
  <c r="J29"/>
  <c r="J35"/>
  <c r="M41"/>
  <c r="L41"/>
  <c r="K41"/>
  <c r="J41"/>
  <c r="J38"/>
  <c r="W35"/>
  <c r="W36"/>
  <c r="J34"/>
  <c r="R19"/>
  <c r="R20"/>
  <c r="Q21"/>
  <c r="R33"/>
  <c r="R34"/>
  <c r="Q35"/>
  <c r="J36"/>
  <c r="P41"/>
  <c r="P40"/>
  <c r="P39"/>
  <c r="P38"/>
  <c r="R3"/>
  <c r="W34"/>
  <c r="V35"/>
  <c r="U40"/>
  <c r="U24"/>
  <c r="U27"/>
  <c r="U26"/>
  <c r="U25"/>
  <c r="U13"/>
  <c r="U12"/>
  <c r="U11"/>
  <c r="U10"/>
  <c r="P42"/>
  <c r="U28"/>
  <c r="U14"/>
  <c r="P27"/>
  <c r="P26"/>
  <c r="P25"/>
  <c r="P24"/>
  <c r="P28"/>
  <c r="P14"/>
  <c r="P13"/>
  <c r="P12"/>
  <c r="P11"/>
  <c r="P10"/>
</calcChain>
</file>

<file path=xl/sharedStrings.xml><?xml version="1.0" encoding="utf-8"?>
<sst xmlns="http://schemas.openxmlformats.org/spreadsheetml/2006/main" count="622" uniqueCount="133">
  <si>
    <t>Vozidlo</t>
  </si>
  <si>
    <t>1 hod</t>
  </si>
  <si>
    <t>3-5 hod</t>
  </si>
  <si>
    <t>dojezd 1km</t>
  </si>
  <si>
    <t>1-3hod</t>
  </si>
  <si>
    <t>statická ukázka</t>
  </si>
  <si>
    <t>OT 64</t>
  </si>
  <si>
    <t>4 600kč/h</t>
  </si>
  <si>
    <t>5 000kč/den</t>
  </si>
  <si>
    <t>UAZ</t>
  </si>
  <si>
    <t>1700kč</t>
  </si>
  <si>
    <t>1600kč/h</t>
  </si>
  <si>
    <t>2 000kč/den</t>
  </si>
  <si>
    <t>1550kč/h</t>
  </si>
  <si>
    <t>T-813</t>
  </si>
  <si>
    <t>5 000kč</t>
  </si>
  <si>
    <t>4 700kč/h</t>
  </si>
  <si>
    <t>4 000kč/den</t>
  </si>
  <si>
    <t>V3S</t>
  </si>
  <si>
    <t>15kč/km</t>
  </si>
  <si>
    <t>2 780kč</t>
  </si>
  <si>
    <t>2 580kč/h</t>
  </si>
  <si>
    <t>2 680kč/h</t>
  </si>
  <si>
    <t>4 500kč/h</t>
  </si>
  <si>
    <t>4 800kč/h</t>
  </si>
  <si>
    <t>Tank</t>
  </si>
  <si>
    <t>34 000kč</t>
  </si>
  <si>
    <t>8 000kč/den</t>
  </si>
  <si>
    <t>T-613</t>
  </si>
  <si>
    <t>8kč/km</t>
  </si>
  <si>
    <t>900kč/h</t>
  </si>
  <si>
    <t>950kč/h</t>
  </si>
  <si>
    <t>850kč/h</t>
  </si>
  <si>
    <t>5 500kč/h</t>
  </si>
  <si>
    <t>příklad nacenění akce</t>
  </si>
  <si>
    <t>Objednají si OT+uaz</t>
  </si>
  <si>
    <t>Dojezd z bohumína na strž a zpět 60km</t>
  </si>
  <si>
    <t>uaz       60x8= 480kč</t>
  </si>
  <si>
    <t>3 hodiny ježdění na strži</t>
  </si>
  <si>
    <t>OT  3x4 700= 14 100kč</t>
  </si>
  <si>
    <t>uaz 3x1 550= 4 650kč</t>
  </si>
  <si>
    <t>je třeba počítat s celkovou dobou strávenou na akci včetně</t>
  </si>
  <si>
    <t>dojezdu pobytu a návratu.</t>
  </si>
  <si>
    <t>Takže dojezd na strž cca 1hodina + pobyt na strži cca 4hod+</t>
  </si>
  <si>
    <t>návrat do Bohumínu 1hod = 6 hodin</t>
  </si>
  <si>
    <t>1 člen doprovod, 2 členové ot, 1 člen uaz</t>
  </si>
  <si>
    <t xml:space="preserve"> 100kč/h práce člena</t>
  </si>
  <si>
    <t>6 hodin výkonu x 4 členové po 100kč na hodinu = 2 400kč</t>
  </si>
  <si>
    <t xml:space="preserve">celková cena bude </t>
  </si>
  <si>
    <t>1)</t>
  </si>
  <si>
    <t>2)</t>
  </si>
  <si>
    <t>3)</t>
  </si>
  <si>
    <t>5)</t>
  </si>
  <si>
    <t>50/1km</t>
  </si>
  <si>
    <t>50kč/km</t>
  </si>
  <si>
    <t>13kč/km</t>
  </si>
  <si>
    <t>OT        60x50=3 000kč</t>
  </si>
  <si>
    <t>24 630kč +zisk min 15% 3 695</t>
  </si>
  <si>
    <t>celkem  28 325kč</t>
  </si>
  <si>
    <t>Objednávka na vřesinskou strž a chtějí  tam jezdit cca 3hodiny.</t>
  </si>
  <si>
    <t>Kalkulace T-613</t>
  </si>
  <si>
    <t>předpokládané km</t>
  </si>
  <si>
    <t>dojezdové km</t>
  </si>
  <si>
    <t>cena</t>
  </si>
  <si>
    <t>CELKEM</t>
  </si>
  <si>
    <t>pronájem hodin</t>
  </si>
  <si>
    <t>(včetně marže)</t>
  </si>
  <si>
    <t>1/km</t>
  </si>
  <si>
    <t>1/hod</t>
  </si>
  <si>
    <t>2-3/hod</t>
  </si>
  <si>
    <t>Kalkulace OT-64</t>
  </si>
  <si>
    <t>3-5/hod</t>
  </si>
  <si>
    <t>Kalkulace T-813</t>
  </si>
  <si>
    <t>Kalkulace V3S</t>
  </si>
  <si>
    <t>Kalkulace UAZ</t>
  </si>
  <si>
    <t>Kalkulace VT55</t>
  </si>
  <si>
    <t>Cena pronájmu/hod</t>
  </si>
  <si>
    <t>řidič/hod</t>
  </si>
  <si>
    <t>SOUHRN</t>
  </si>
  <si>
    <t>VOZIDLO</t>
  </si>
  <si>
    <t>CENA</t>
  </si>
  <si>
    <t>OT-64</t>
  </si>
  <si>
    <t>P V3S</t>
  </si>
  <si>
    <t>VT55</t>
  </si>
  <si>
    <t>CENA CELKEM</t>
  </si>
  <si>
    <t>Z toho marže</t>
  </si>
  <si>
    <t>VYPLŇUJÍ SE JEN ŠEDÁ POLÍČKA!!!</t>
  </si>
  <si>
    <t>řidič os/hod</t>
  </si>
  <si>
    <t>minimální nutný počet zákazníků</t>
  </si>
  <si>
    <t>minimální cena při X zákaznících</t>
  </si>
  <si>
    <t>zákazníků</t>
  </si>
  <si>
    <t>počet jízd / hod</t>
  </si>
  <si>
    <t>délka jedné jízdy</t>
  </si>
  <si>
    <t>15 min.</t>
  </si>
  <si>
    <t>počet jízd za den</t>
  </si>
  <si>
    <t>min počet osob/jízdu</t>
  </si>
  <si>
    <t>celkem svezeno osob</t>
  </si>
  <si>
    <t>8,5 l/1 km</t>
  </si>
  <si>
    <t>2,5 l/1 km</t>
  </si>
  <si>
    <t>7 l/1 km</t>
  </si>
  <si>
    <t>Místo</t>
  </si>
  <si>
    <t>nájem</t>
  </si>
  <si>
    <t>TYP</t>
  </si>
  <si>
    <t>DYNAMIKA</t>
  </si>
  <si>
    <t>Vítkovice</t>
  </si>
  <si>
    <t>OT</t>
  </si>
  <si>
    <t>T813</t>
  </si>
  <si>
    <t>PV3S</t>
  </si>
  <si>
    <t>T613</t>
  </si>
  <si>
    <t>Pivovar</t>
  </si>
  <si>
    <t>MOS5</t>
  </si>
  <si>
    <t>PK26</t>
  </si>
  <si>
    <t>Hasiči OV</t>
  </si>
  <si>
    <t>Darkovičky</t>
  </si>
  <si>
    <t>Důl Michal</t>
  </si>
  <si>
    <t>Muzeum TATRA</t>
  </si>
  <si>
    <t>Landek park</t>
  </si>
  <si>
    <t>dojezd km</t>
  </si>
  <si>
    <t>x</t>
  </si>
  <si>
    <t>hodin</t>
  </si>
  <si>
    <t>STATIKA</t>
  </si>
  <si>
    <t>při obsazení třech akcí sleva 3% z konečné částky</t>
  </si>
  <si>
    <t>při obsazení pěti akcí sleva 5% z konečné částky</t>
  </si>
  <si>
    <t>při obsazení všech akcí sleva 10% z konečné částky</t>
  </si>
  <si>
    <t>při doporučené konfiguraci akcí by cena byla:</t>
  </si>
  <si>
    <t>sleva 10%</t>
  </si>
  <si>
    <t>realizace</t>
  </si>
  <si>
    <t>sleva 5%</t>
  </si>
  <si>
    <t>sleva 3%</t>
  </si>
  <si>
    <t>Kalkulace - TECHNOTRASA 2014 (pro úpravu požadované techniky dopiš nebo smaž "x" ve sloupci realizace)</t>
  </si>
  <si>
    <t>marže</t>
  </si>
  <si>
    <t>dojezd</t>
  </si>
  <si>
    <t>SA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</si>
</sst>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8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3" fontId="0" fillId="5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164" fontId="2" fillId="0" borderId="5" xfId="0" applyNumberFormat="1" applyFont="1" applyBorder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7" borderId="0" xfId="0" applyFill="1" applyBorder="1"/>
    <xf numFmtId="0" fontId="6" fillId="0" borderId="0" xfId="0" applyFont="1"/>
    <xf numFmtId="0" fontId="6" fillId="2" borderId="0" xfId="0" applyFont="1" applyFill="1" applyBorder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7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8" borderId="1" xfId="0" applyFill="1" applyBorder="1" applyProtection="1">
      <protection hidden="1"/>
    </xf>
    <xf numFmtId="164" fontId="0" fillId="8" borderId="1" xfId="0" applyNumberFormat="1" applyFill="1" applyBorder="1" applyProtection="1">
      <protection hidden="1"/>
    </xf>
    <xf numFmtId="164" fontId="0" fillId="8" borderId="13" xfId="0" applyNumberFormat="1" applyFill="1" applyBorder="1" applyProtection="1">
      <protection hidden="1"/>
    </xf>
    <xf numFmtId="0" fontId="2" fillId="8" borderId="1" xfId="0" applyFont="1" applyFill="1" applyBorder="1" applyProtection="1">
      <protection hidden="1"/>
    </xf>
    <xf numFmtId="164" fontId="2" fillId="8" borderId="1" xfId="0" applyNumberFormat="1" applyFont="1" applyFill="1" applyBorder="1" applyProtection="1">
      <protection hidden="1"/>
    </xf>
    <xf numFmtId="164" fontId="2" fillId="8" borderId="13" xfId="0" applyNumberFormat="1" applyFont="1" applyFill="1" applyBorder="1" applyProtection="1">
      <protection hidden="1"/>
    </xf>
    <xf numFmtId="0" fontId="0" fillId="9" borderId="1" xfId="0" applyFill="1" applyBorder="1" applyProtection="1">
      <protection hidden="1"/>
    </xf>
    <xf numFmtId="164" fontId="0" fillId="9" borderId="1" xfId="0" applyNumberFormat="1" applyFill="1" applyBorder="1" applyProtection="1">
      <protection hidden="1"/>
    </xf>
    <xf numFmtId="164" fontId="0" fillId="9" borderId="13" xfId="0" applyNumberFormat="1" applyFill="1" applyBorder="1" applyProtection="1">
      <protection hidden="1"/>
    </xf>
    <xf numFmtId="0" fontId="2" fillId="9" borderId="1" xfId="0" applyFont="1" applyFill="1" applyBorder="1" applyProtection="1">
      <protection hidden="1"/>
    </xf>
    <xf numFmtId="164" fontId="2" fillId="9" borderId="1" xfId="0" applyNumberFormat="1" applyFont="1" applyFill="1" applyBorder="1" applyProtection="1">
      <protection hidden="1"/>
    </xf>
    <xf numFmtId="164" fontId="2" fillId="9" borderId="13" xfId="0" applyNumberFormat="1" applyFont="1" applyFill="1" applyBorder="1" applyProtection="1">
      <protection hidden="1"/>
    </xf>
    <xf numFmtId="0" fontId="0" fillId="10" borderId="1" xfId="0" applyFill="1" applyBorder="1" applyProtection="1">
      <protection hidden="1"/>
    </xf>
    <xf numFmtId="164" fontId="0" fillId="10" borderId="1" xfId="0" applyNumberFormat="1" applyFill="1" applyBorder="1" applyProtection="1">
      <protection hidden="1"/>
    </xf>
    <xf numFmtId="164" fontId="0" fillId="10" borderId="13" xfId="0" applyNumberFormat="1" applyFill="1" applyBorder="1" applyProtection="1">
      <protection hidden="1"/>
    </xf>
    <xf numFmtId="0" fontId="2" fillId="10" borderId="1" xfId="0" applyFont="1" applyFill="1" applyBorder="1" applyProtection="1">
      <protection hidden="1"/>
    </xf>
    <xf numFmtId="164" fontId="2" fillId="10" borderId="1" xfId="0" applyNumberFormat="1" applyFont="1" applyFill="1" applyBorder="1" applyProtection="1">
      <protection hidden="1"/>
    </xf>
    <xf numFmtId="164" fontId="2" fillId="10" borderId="13" xfId="0" applyNumberFormat="1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4" fontId="0" fillId="2" borderId="13" xfId="0" applyNumberForma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164" fontId="2" fillId="2" borderId="1" xfId="0" applyNumberFormat="1" applyFont="1" applyFill="1" applyBorder="1" applyProtection="1">
      <protection hidden="1"/>
    </xf>
    <xf numFmtId="164" fontId="2" fillId="2" borderId="13" xfId="0" applyNumberFormat="1" applyFont="1" applyFill="1" applyBorder="1" applyProtection="1">
      <protection hidden="1"/>
    </xf>
    <xf numFmtId="0" fontId="0" fillId="11" borderId="1" xfId="0" applyFill="1" applyBorder="1" applyProtection="1">
      <protection hidden="1"/>
    </xf>
    <xf numFmtId="164" fontId="0" fillId="11" borderId="1" xfId="0" applyNumberFormat="1" applyFill="1" applyBorder="1" applyProtection="1">
      <protection hidden="1"/>
    </xf>
    <xf numFmtId="164" fontId="0" fillId="11" borderId="13" xfId="0" applyNumberFormat="1" applyFill="1" applyBorder="1" applyProtection="1">
      <protection hidden="1"/>
    </xf>
    <xf numFmtId="0" fontId="2" fillId="11" borderId="1" xfId="0" applyFont="1" applyFill="1" applyBorder="1" applyProtection="1">
      <protection hidden="1"/>
    </xf>
    <xf numFmtId="164" fontId="2" fillId="11" borderId="1" xfId="0" applyNumberFormat="1" applyFont="1" applyFill="1" applyBorder="1" applyProtection="1">
      <protection hidden="1"/>
    </xf>
    <xf numFmtId="164" fontId="2" fillId="11" borderId="13" xfId="0" applyNumberFormat="1" applyFont="1" applyFill="1" applyBorder="1" applyProtection="1">
      <protection hidden="1"/>
    </xf>
    <xf numFmtId="0" fontId="0" fillId="6" borderId="1" xfId="0" applyFill="1" applyBorder="1" applyProtection="1">
      <protection hidden="1"/>
    </xf>
    <xf numFmtId="164" fontId="0" fillId="6" borderId="1" xfId="0" applyNumberFormat="1" applyFill="1" applyBorder="1" applyProtection="1">
      <protection hidden="1"/>
    </xf>
    <xf numFmtId="164" fontId="0" fillId="6" borderId="13" xfId="0" applyNumberFormat="1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164" fontId="2" fillId="6" borderId="1" xfId="0" applyNumberFormat="1" applyFont="1" applyFill="1" applyBorder="1" applyProtection="1">
      <protection hidden="1"/>
    </xf>
    <xf numFmtId="164" fontId="2" fillId="6" borderId="13" xfId="0" applyNumberFormat="1" applyFont="1" applyFill="1" applyBorder="1" applyProtection="1">
      <protection hidden="1"/>
    </xf>
    <xf numFmtId="0" fontId="0" fillId="12" borderId="1" xfId="0" applyFill="1" applyBorder="1" applyProtection="1">
      <protection hidden="1"/>
    </xf>
    <xf numFmtId="164" fontId="0" fillId="12" borderId="1" xfId="0" applyNumberFormat="1" applyFill="1" applyBorder="1" applyProtection="1">
      <protection hidden="1"/>
    </xf>
    <xf numFmtId="164" fontId="0" fillId="12" borderId="13" xfId="0" applyNumberFormat="1" applyFill="1" applyBorder="1" applyProtection="1">
      <protection hidden="1"/>
    </xf>
    <xf numFmtId="0" fontId="2" fillId="12" borderId="1" xfId="0" applyFont="1" applyFill="1" applyBorder="1" applyProtection="1">
      <protection hidden="1"/>
    </xf>
    <xf numFmtId="164" fontId="2" fillId="12" borderId="1" xfId="0" applyNumberFormat="1" applyFont="1" applyFill="1" applyBorder="1" applyProtection="1">
      <protection hidden="1"/>
    </xf>
    <xf numFmtId="164" fontId="2" fillId="12" borderId="13" xfId="0" applyNumberFormat="1" applyFont="1" applyFill="1" applyBorder="1" applyProtection="1">
      <protection hidden="1"/>
    </xf>
    <xf numFmtId="0" fontId="0" fillId="13" borderId="1" xfId="0" applyFill="1" applyBorder="1" applyProtection="1">
      <protection hidden="1"/>
    </xf>
    <xf numFmtId="164" fontId="0" fillId="13" borderId="1" xfId="0" applyNumberFormat="1" applyFill="1" applyBorder="1" applyProtection="1">
      <protection hidden="1"/>
    </xf>
    <xf numFmtId="164" fontId="0" fillId="13" borderId="13" xfId="0" applyNumberFormat="1" applyFill="1" applyBorder="1" applyProtection="1">
      <protection hidden="1"/>
    </xf>
    <xf numFmtId="0" fontId="2" fillId="13" borderId="14" xfId="0" applyFont="1" applyFill="1" applyBorder="1" applyProtection="1">
      <protection hidden="1"/>
    </xf>
    <xf numFmtId="164" fontId="2" fillId="13" borderId="14" xfId="0" applyNumberFormat="1" applyFont="1" applyFill="1" applyBorder="1" applyProtection="1">
      <protection hidden="1"/>
    </xf>
    <xf numFmtId="164" fontId="2" fillId="13" borderId="15" xfId="0" applyNumberFormat="1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 hidden="1"/>
    </xf>
    <xf numFmtId="0" fontId="8" fillId="0" borderId="16" xfId="0" applyFont="1" applyBorder="1" applyAlignment="1" applyProtection="1">
      <alignment horizontal="center"/>
      <protection hidden="1"/>
    </xf>
    <xf numFmtId="164" fontId="2" fillId="0" borderId="0" xfId="0" applyNumberFormat="1" applyFont="1"/>
    <xf numFmtId="0" fontId="0" fillId="0" borderId="16" xfId="0" applyBorder="1" applyAlignment="1">
      <alignment horizontal="center"/>
    </xf>
    <xf numFmtId="0" fontId="0" fillId="0" borderId="16" xfId="0" applyBorder="1" applyAlignment="1" applyProtection="1">
      <alignment horizontal="center"/>
      <protection hidden="1"/>
    </xf>
    <xf numFmtId="0" fontId="2" fillId="8" borderId="17" xfId="0" applyFont="1" applyFill="1" applyBorder="1" applyAlignment="1" applyProtection="1">
      <alignment horizontal="center"/>
      <protection hidden="1"/>
    </xf>
    <xf numFmtId="0" fontId="0" fillId="8" borderId="17" xfId="0" applyFill="1" applyBorder="1" applyAlignment="1" applyProtection="1">
      <alignment horizontal="center"/>
      <protection hidden="1"/>
    </xf>
    <xf numFmtId="0" fontId="2" fillId="9" borderId="17" xfId="0" applyFont="1" applyFill="1" applyBorder="1" applyAlignment="1" applyProtection="1">
      <alignment horizontal="center"/>
      <protection hidden="1"/>
    </xf>
    <xf numFmtId="0" fontId="0" fillId="9" borderId="17" xfId="0" applyFill="1" applyBorder="1" applyAlignment="1" applyProtection="1">
      <alignment horizontal="center"/>
      <protection hidden="1"/>
    </xf>
    <xf numFmtId="0" fontId="2" fillId="10" borderId="17" xfId="0" applyFont="1" applyFill="1" applyBorder="1" applyAlignment="1" applyProtection="1">
      <alignment horizontal="center"/>
      <protection hidden="1"/>
    </xf>
    <xf numFmtId="0" fontId="0" fillId="10" borderId="17" xfId="0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2" fillId="11" borderId="17" xfId="0" applyFont="1" applyFill="1" applyBorder="1" applyAlignment="1" applyProtection="1">
      <alignment horizontal="center"/>
      <protection hidden="1"/>
    </xf>
    <xf numFmtId="0" fontId="0" fillId="11" borderId="17" xfId="0" applyFill="1" applyBorder="1" applyAlignment="1" applyProtection="1">
      <alignment horizontal="center"/>
      <protection hidden="1"/>
    </xf>
    <xf numFmtId="0" fontId="2" fillId="6" borderId="17" xfId="0" applyFont="1" applyFill="1" applyBorder="1" applyAlignment="1" applyProtection="1">
      <alignment horizontal="center"/>
      <protection hidden="1"/>
    </xf>
    <xf numFmtId="0" fontId="0" fillId="6" borderId="17" xfId="0" applyFill="1" applyBorder="1" applyAlignment="1" applyProtection="1">
      <alignment horizontal="center"/>
      <protection hidden="1"/>
    </xf>
    <xf numFmtId="0" fontId="2" fillId="12" borderId="17" xfId="0" applyFont="1" applyFill="1" applyBorder="1" applyAlignment="1" applyProtection="1">
      <alignment horizontal="center"/>
      <protection hidden="1"/>
    </xf>
    <xf numFmtId="0" fontId="0" fillId="12" borderId="17" xfId="0" applyFill="1" applyBorder="1" applyAlignment="1" applyProtection="1">
      <alignment horizontal="center"/>
      <protection hidden="1"/>
    </xf>
    <xf numFmtId="0" fontId="2" fillId="13" borderId="17" xfId="0" applyFont="1" applyFill="1" applyBorder="1" applyAlignment="1" applyProtection="1">
      <alignment horizontal="center"/>
      <protection hidden="1"/>
    </xf>
    <xf numFmtId="0" fontId="0" fillId="13" borderId="17" xfId="0" applyFill="1" applyBorder="1" applyAlignment="1" applyProtection="1">
      <alignment horizontal="center"/>
      <protection hidden="1"/>
    </xf>
    <xf numFmtId="0" fontId="0" fillId="13" borderId="18" xfId="0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2" fillId="8" borderId="18" xfId="0" applyFont="1" applyFill="1" applyBorder="1" applyAlignment="1" applyProtection="1">
      <alignment horizontal="center"/>
      <protection hidden="1"/>
    </xf>
    <xf numFmtId="0" fontId="0" fillId="8" borderId="19" xfId="0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hidden="1"/>
    </xf>
    <xf numFmtId="0" fontId="2" fillId="9" borderId="18" xfId="0" applyFont="1" applyFill="1" applyBorder="1" applyAlignment="1" applyProtection="1">
      <alignment horizontal="center"/>
      <protection hidden="1"/>
    </xf>
    <xf numFmtId="0" fontId="0" fillId="9" borderId="19" xfId="0" applyFill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/>
      <protection hidden="1"/>
    </xf>
    <xf numFmtId="0" fontId="2" fillId="10" borderId="18" xfId="0" applyFont="1" applyFill="1" applyBorder="1" applyAlignment="1" applyProtection="1">
      <alignment horizontal="center"/>
      <protection hidden="1"/>
    </xf>
    <xf numFmtId="0" fontId="0" fillId="10" borderId="19" xfId="0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2" fillId="11" borderId="18" xfId="0" applyFont="1" applyFill="1" applyBorder="1" applyAlignment="1" applyProtection="1">
      <alignment horizontal="center"/>
      <protection hidden="1"/>
    </xf>
    <xf numFmtId="0" fontId="0" fillId="11" borderId="19" xfId="0" applyFill="1" applyBorder="1" applyAlignment="1" applyProtection="1">
      <alignment horizontal="center"/>
      <protection hidden="1"/>
    </xf>
    <xf numFmtId="0" fontId="0" fillId="11" borderId="10" xfId="0" applyFill="1" applyBorder="1" applyAlignment="1" applyProtection="1">
      <alignment horizontal="center"/>
      <protection hidden="1"/>
    </xf>
    <xf numFmtId="0" fontId="2" fillId="6" borderId="18" xfId="0" applyFont="1" applyFill="1" applyBorder="1" applyAlignment="1" applyProtection="1">
      <alignment horizontal="center"/>
      <protection hidden="1"/>
    </xf>
    <xf numFmtId="0" fontId="0" fillId="6" borderId="19" xfId="0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2" fillId="12" borderId="18" xfId="0" applyFont="1" applyFill="1" applyBorder="1" applyAlignment="1" applyProtection="1">
      <alignment horizontal="center"/>
      <protection hidden="1"/>
    </xf>
    <xf numFmtId="0" fontId="0" fillId="12" borderId="19" xfId="0" applyFill="1" applyBorder="1" applyAlignment="1" applyProtection="1">
      <alignment horizontal="center"/>
      <protection hidden="1"/>
    </xf>
    <xf numFmtId="0" fontId="0" fillId="12" borderId="10" xfId="0" applyFill="1" applyBorder="1" applyAlignment="1" applyProtection="1">
      <alignment horizontal="center"/>
      <protection hidden="1"/>
    </xf>
    <xf numFmtId="0" fontId="2" fillId="13" borderId="18" xfId="0" applyFont="1" applyFill="1" applyBorder="1" applyAlignment="1" applyProtection="1">
      <alignment horizontal="center"/>
      <protection hidden="1"/>
    </xf>
    <xf numFmtId="0" fontId="0" fillId="13" borderId="19" xfId="0" applyFill="1" applyBorder="1" applyAlignment="1" applyProtection="1">
      <alignment horizontal="center"/>
      <protection hidden="1"/>
    </xf>
    <xf numFmtId="0" fontId="0" fillId="13" borderId="19" xfId="0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46"/>
  <sheetViews>
    <sheetView zoomScaleNormal="100" workbookViewId="0">
      <selection activeCell="Y9" sqref="Y9"/>
    </sheetView>
  </sheetViews>
  <sheetFormatPr defaultRowHeight="15"/>
  <cols>
    <col min="1" max="1" width="6.140625" customWidth="1"/>
    <col min="2" max="2" width="10.42578125" customWidth="1"/>
    <col min="4" max="4" width="9.85546875" bestFit="1" customWidth="1"/>
    <col min="5" max="5" width="12" customWidth="1"/>
    <col min="6" max="6" width="12.42578125" customWidth="1"/>
    <col min="7" max="7" width="10.5703125" bestFit="1" customWidth="1"/>
    <col min="9" max="9" width="21.140625" customWidth="1"/>
    <col min="10" max="10" width="10.5703125" bestFit="1" customWidth="1"/>
    <col min="11" max="12" width="9.42578125" bestFit="1" customWidth="1"/>
    <col min="13" max="13" width="9.28515625" bestFit="1" customWidth="1"/>
    <col min="15" max="15" width="12.140625" customWidth="1"/>
    <col min="16" max="17" width="9.28515625" bestFit="1" customWidth="1"/>
    <col min="18" max="18" width="10.5703125" bestFit="1" customWidth="1"/>
    <col min="20" max="20" width="12.5703125" customWidth="1"/>
    <col min="21" max="22" width="9.28515625" bestFit="1" customWidth="1"/>
    <col min="23" max="23" width="12" bestFit="1" customWidth="1"/>
  </cols>
  <sheetData>
    <row r="1" spans="1:23" ht="15.75" thickBot="1">
      <c r="A1" s="1" t="s">
        <v>0</v>
      </c>
      <c r="B1" s="1" t="s">
        <v>3</v>
      </c>
      <c r="C1" s="1" t="s">
        <v>1</v>
      </c>
      <c r="D1" s="1" t="s">
        <v>4</v>
      </c>
      <c r="E1" s="1" t="s">
        <v>2</v>
      </c>
      <c r="F1" s="1" t="s">
        <v>5</v>
      </c>
      <c r="H1" s="24"/>
      <c r="I1" s="24"/>
      <c r="J1" s="25" t="s">
        <v>34</v>
      </c>
      <c r="K1" s="24"/>
      <c r="L1" s="24"/>
      <c r="M1" s="24"/>
      <c r="O1" s="21" t="s">
        <v>86</v>
      </c>
    </row>
    <row r="2" spans="1:23">
      <c r="A2" s="3" t="s">
        <v>6</v>
      </c>
      <c r="B2" s="2"/>
      <c r="C2" s="2"/>
      <c r="D2" s="2"/>
      <c r="E2" s="2"/>
      <c r="F2" s="2"/>
      <c r="G2" t="s">
        <v>97</v>
      </c>
      <c r="H2" s="24"/>
      <c r="I2" s="24"/>
      <c r="J2" s="24"/>
      <c r="K2" s="24"/>
      <c r="L2" s="24"/>
      <c r="M2" s="24"/>
      <c r="O2" s="18" t="s">
        <v>60</v>
      </c>
      <c r="P2" s="10"/>
      <c r="Q2" s="10"/>
      <c r="R2" s="11" t="s">
        <v>63</v>
      </c>
      <c r="T2" s="18" t="s">
        <v>72</v>
      </c>
      <c r="U2" s="10"/>
      <c r="V2" s="10"/>
      <c r="W2" s="11" t="s">
        <v>63</v>
      </c>
    </row>
    <row r="3" spans="1:23">
      <c r="A3" s="2"/>
      <c r="B3" s="4" t="s">
        <v>53</v>
      </c>
      <c r="C3" s="5" t="s">
        <v>33</v>
      </c>
      <c r="D3" s="2"/>
      <c r="E3" s="2"/>
      <c r="F3" s="2"/>
      <c r="G3" s="30">
        <f>8.5*35</f>
        <v>297.5</v>
      </c>
      <c r="H3" s="24"/>
      <c r="I3" s="24" t="s">
        <v>59</v>
      </c>
      <c r="J3" s="24"/>
      <c r="K3" s="24"/>
      <c r="L3" s="24"/>
      <c r="M3" s="24"/>
      <c r="O3" s="12" t="s">
        <v>61</v>
      </c>
      <c r="P3" s="13"/>
      <c r="Q3" s="23">
        <v>0</v>
      </c>
      <c r="R3" s="14">
        <f>Q3*P10</f>
        <v>0</v>
      </c>
      <c r="T3" s="12"/>
      <c r="U3" s="13"/>
      <c r="V3" s="13"/>
      <c r="W3" s="14"/>
    </row>
    <row r="4" spans="1:23">
      <c r="A4" s="2"/>
      <c r="B4" s="2"/>
      <c r="C4" s="2"/>
      <c r="D4" s="6" t="s">
        <v>16</v>
      </c>
      <c r="E4" s="2"/>
      <c r="F4" s="2"/>
      <c r="H4" s="24"/>
      <c r="I4" s="24" t="s">
        <v>35</v>
      </c>
      <c r="J4" s="24"/>
      <c r="K4" s="24"/>
      <c r="L4" s="24"/>
      <c r="M4" s="24"/>
      <c r="O4" s="12" t="s">
        <v>62</v>
      </c>
      <c r="P4" s="13"/>
      <c r="Q4" s="23">
        <v>6</v>
      </c>
      <c r="R4" s="14">
        <f>Q4*P10</f>
        <v>93.6</v>
      </c>
      <c r="T4" s="12" t="s">
        <v>62</v>
      </c>
      <c r="U4" s="13"/>
      <c r="V4" s="23">
        <v>6</v>
      </c>
      <c r="W4" s="14">
        <f>V4*U10</f>
        <v>360</v>
      </c>
    </row>
    <row r="5" spans="1:23">
      <c r="A5" s="2"/>
      <c r="B5" s="2"/>
      <c r="C5" s="2"/>
      <c r="D5" s="2"/>
      <c r="E5" s="5" t="s">
        <v>23</v>
      </c>
      <c r="F5" s="2"/>
      <c r="H5" s="26" t="s">
        <v>49</v>
      </c>
      <c r="I5" s="24" t="s">
        <v>36</v>
      </c>
      <c r="J5" s="24"/>
      <c r="K5" s="24"/>
      <c r="L5" s="24"/>
      <c r="M5" s="24"/>
      <c r="O5" s="12" t="s">
        <v>76</v>
      </c>
      <c r="P5" s="13"/>
      <c r="Q5" s="13"/>
      <c r="R5" s="14">
        <f>IF(Q6&lt;=1.9,950*1.2,IF(Q6&lt;=3,900*1.2,850*1.2))</f>
        <v>1020</v>
      </c>
      <c r="T5" s="12" t="s">
        <v>76</v>
      </c>
      <c r="U5" s="13"/>
      <c r="V5" s="13"/>
      <c r="W5" s="14">
        <f>IF(V6&lt;=1.9,5000*1.2,IF(V6&lt;=3,4800*1.2,4600*1.2))</f>
        <v>5520</v>
      </c>
    </row>
    <row r="6" spans="1:23">
      <c r="A6" s="2"/>
      <c r="B6" s="2"/>
      <c r="C6" s="2"/>
      <c r="D6" s="2"/>
      <c r="E6" s="2"/>
      <c r="F6" s="5" t="s">
        <v>8</v>
      </c>
      <c r="H6" s="26"/>
      <c r="I6" s="24" t="s">
        <v>56</v>
      </c>
      <c r="J6" s="24"/>
      <c r="K6" s="24"/>
      <c r="L6" s="24"/>
      <c r="M6" s="24"/>
      <c r="O6" s="12" t="s">
        <v>65</v>
      </c>
      <c r="P6" s="13"/>
      <c r="Q6" s="23">
        <v>4</v>
      </c>
      <c r="R6" s="14">
        <f>R5*Q6</f>
        <v>4080</v>
      </c>
      <c r="T6" s="12" t="s">
        <v>65</v>
      </c>
      <c r="U6" s="13"/>
      <c r="V6" s="23">
        <v>4</v>
      </c>
      <c r="W6" s="14">
        <f>W5*V6</f>
        <v>22080</v>
      </c>
    </row>
    <row r="7" spans="1:23">
      <c r="A7" s="7"/>
      <c r="B7" s="7"/>
      <c r="C7" s="7"/>
      <c r="D7" s="7"/>
      <c r="E7" s="7"/>
      <c r="F7" s="7"/>
      <c r="H7" s="26"/>
      <c r="I7" s="24" t="s">
        <v>37</v>
      </c>
      <c r="J7" s="24"/>
      <c r="K7" s="24"/>
      <c r="L7" s="24"/>
      <c r="M7" s="27"/>
      <c r="O7" s="12" t="s">
        <v>87</v>
      </c>
      <c r="P7" s="23">
        <v>1</v>
      </c>
      <c r="Q7" s="13">
        <f>Q6</f>
        <v>4</v>
      </c>
      <c r="R7" s="14">
        <f>Q7*P7*P14</f>
        <v>480</v>
      </c>
      <c r="T7" s="12" t="s">
        <v>87</v>
      </c>
      <c r="U7" s="23">
        <v>1</v>
      </c>
      <c r="V7" s="13">
        <f>V6</f>
        <v>4</v>
      </c>
      <c r="W7" s="14">
        <f>V7*U7*U14</f>
        <v>480</v>
      </c>
    </row>
    <row r="8" spans="1:23">
      <c r="A8" s="3" t="s">
        <v>9</v>
      </c>
      <c r="B8" s="2"/>
      <c r="C8" s="2"/>
      <c r="D8" s="2"/>
      <c r="E8" s="2"/>
      <c r="F8" s="2"/>
      <c r="G8" t="s">
        <v>98</v>
      </c>
      <c r="H8" s="26" t="s">
        <v>50</v>
      </c>
      <c r="I8" s="24" t="s">
        <v>38</v>
      </c>
      <c r="J8" s="24"/>
      <c r="K8" s="24"/>
      <c r="L8" s="24"/>
      <c r="M8" s="24"/>
      <c r="O8" s="12" t="s">
        <v>64</v>
      </c>
      <c r="P8" s="13" t="s">
        <v>66</v>
      </c>
      <c r="Q8" s="13"/>
      <c r="R8" s="19">
        <f>R3+R4+R6+R7</f>
        <v>4653.6000000000004</v>
      </c>
      <c r="T8" s="12" t="s">
        <v>64</v>
      </c>
      <c r="U8" s="13" t="s">
        <v>66</v>
      </c>
      <c r="V8" s="13"/>
      <c r="W8" s="19">
        <f>W3+W4+W6+W7</f>
        <v>22920</v>
      </c>
    </row>
    <row r="9" spans="1:23">
      <c r="A9" s="2"/>
      <c r="B9" s="4" t="s">
        <v>29</v>
      </c>
      <c r="C9" s="5" t="s">
        <v>10</v>
      </c>
      <c r="D9" s="2"/>
      <c r="E9" s="2"/>
      <c r="F9" s="2"/>
      <c r="G9" s="30">
        <f>2.5*35</f>
        <v>87.5</v>
      </c>
      <c r="H9" s="26"/>
      <c r="I9" s="24" t="s">
        <v>39</v>
      </c>
      <c r="J9" s="24"/>
      <c r="K9" s="24"/>
      <c r="L9" s="24"/>
      <c r="M9" s="24"/>
      <c r="O9" s="12"/>
      <c r="P9" s="13"/>
      <c r="Q9" s="13"/>
      <c r="R9" s="14"/>
      <c r="T9" s="12"/>
      <c r="U9" s="13"/>
      <c r="V9" s="13"/>
      <c r="W9" s="14"/>
    </row>
    <row r="10" spans="1:23">
      <c r="A10" s="2"/>
      <c r="B10" s="2"/>
      <c r="C10" s="2"/>
      <c r="D10" s="5" t="s">
        <v>11</v>
      </c>
      <c r="E10" s="2"/>
      <c r="F10" s="2"/>
      <c r="H10" s="26"/>
      <c r="I10" s="24" t="s">
        <v>40</v>
      </c>
      <c r="J10" s="24"/>
      <c r="K10" s="24"/>
      <c r="L10" s="24"/>
      <c r="M10" s="24"/>
      <c r="O10" s="12" t="s">
        <v>67</v>
      </c>
      <c r="P10" s="13">
        <f>13*1.2</f>
        <v>15.6</v>
      </c>
      <c r="Q10" s="13"/>
      <c r="R10" s="14"/>
      <c r="T10" s="12" t="s">
        <v>67</v>
      </c>
      <c r="U10" s="13">
        <f>50*1.2</f>
        <v>60</v>
      </c>
      <c r="V10" s="13"/>
      <c r="W10" s="14"/>
    </row>
    <row r="11" spans="1:23">
      <c r="A11" s="2"/>
      <c r="B11" s="2"/>
      <c r="C11" s="2"/>
      <c r="D11" s="2"/>
      <c r="E11" s="6" t="s">
        <v>13</v>
      </c>
      <c r="F11" s="2"/>
      <c r="H11" s="26" t="s">
        <v>51</v>
      </c>
      <c r="I11" s="24" t="s">
        <v>41</v>
      </c>
      <c r="J11" s="24"/>
      <c r="K11" s="24"/>
      <c r="L11" s="24"/>
      <c r="M11" s="24"/>
      <c r="O11" s="12" t="s">
        <v>68</v>
      </c>
      <c r="P11" s="13">
        <f>950*1.2</f>
        <v>1140</v>
      </c>
      <c r="Q11" s="13"/>
      <c r="R11" s="14"/>
      <c r="T11" s="12" t="s">
        <v>68</v>
      </c>
      <c r="U11" s="13">
        <f>5000*1.2</f>
        <v>6000</v>
      </c>
      <c r="V11" s="13"/>
      <c r="W11" s="14"/>
    </row>
    <row r="12" spans="1:23">
      <c r="A12" s="2"/>
      <c r="B12" s="2"/>
      <c r="C12" s="2"/>
      <c r="D12" s="2"/>
      <c r="E12" s="2"/>
      <c r="F12" s="5" t="s">
        <v>12</v>
      </c>
      <c r="H12" s="26"/>
      <c r="I12" s="24" t="s">
        <v>42</v>
      </c>
      <c r="J12" s="24"/>
      <c r="K12" s="24"/>
      <c r="L12" s="24"/>
      <c r="M12" s="24"/>
      <c r="O12" s="12" t="s">
        <v>69</v>
      </c>
      <c r="P12" s="13">
        <f>900*1.2</f>
        <v>1080</v>
      </c>
      <c r="Q12" s="13"/>
      <c r="R12" s="14"/>
      <c r="T12" s="12" t="s">
        <v>69</v>
      </c>
      <c r="U12" s="13">
        <f>4800*1.2</f>
        <v>5760</v>
      </c>
      <c r="V12" s="13"/>
      <c r="W12" s="14"/>
    </row>
    <row r="13" spans="1:23">
      <c r="A13" s="7"/>
      <c r="B13" s="7"/>
      <c r="C13" s="7"/>
      <c r="D13" s="7"/>
      <c r="E13" s="7"/>
      <c r="F13" s="7"/>
      <c r="H13" s="26"/>
      <c r="I13" s="24" t="s">
        <v>43</v>
      </c>
      <c r="J13" s="24"/>
      <c r="K13" s="24"/>
      <c r="L13" s="24"/>
      <c r="M13" s="24"/>
      <c r="O13" s="12" t="s">
        <v>71</v>
      </c>
      <c r="P13" s="13">
        <f>850*1.2</f>
        <v>1020</v>
      </c>
      <c r="Q13" s="13"/>
      <c r="R13" s="14"/>
      <c r="T13" s="12" t="s">
        <v>71</v>
      </c>
      <c r="U13" s="13">
        <f>4600*1.2</f>
        <v>5520</v>
      </c>
      <c r="V13" s="13"/>
      <c r="W13" s="14"/>
    </row>
    <row r="14" spans="1:23" ht="15.75" thickBot="1">
      <c r="A14" s="3" t="s">
        <v>14</v>
      </c>
      <c r="B14" s="2"/>
      <c r="C14" s="2"/>
      <c r="D14" s="2"/>
      <c r="E14" s="2"/>
      <c r="F14" s="2"/>
      <c r="G14" t="s">
        <v>97</v>
      </c>
      <c r="H14" s="26"/>
      <c r="I14" s="24" t="s">
        <v>44</v>
      </c>
      <c r="J14" s="24"/>
      <c r="K14" s="24"/>
      <c r="L14" s="24"/>
      <c r="M14" s="24"/>
      <c r="O14" s="15" t="s">
        <v>77</v>
      </c>
      <c r="P14" s="16">
        <f>100*1.2</f>
        <v>120</v>
      </c>
      <c r="Q14" s="16"/>
      <c r="R14" s="17"/>
      <c r="T14" s="15" t="s">
        <v>77</v>
      </c>
      <c r="U14" s="16">
        <f>100*1.2</f>
        <v>120</v>
      </c>
      <c r="V14" s="16"/>
      <c r="W14" s="17"/>
    </row>
    <row r="15" spans="1:23" ht="15.75" thickBot="1">
      <c r="A15" s="2"/>
      <c r="B15" s="4" t="s">
        <v>54</v>
      </c>
      <c r="C15" s="5" t="s">
        <v>15</v>
      </c>
      <c r="D15" s="2"/>
      <c r="E15" s="2"/>
      <c r="F15" s="2"/>
      <c r="G15" s="30">
        <f>8.5*35</f>
        <v>297.5</v>
      </c>
      <c r="H15" s="26"/>
      <c r="I15" s="24" t="s">
        <v>45</v>
      </c>
      <c r="J15" s="24"/>
      <c r="K15" s="24"/>
      <c r="L15" s="24"/>
      <c r="M15" s="24"/>
    </row>
    <row r="16" spans="1:23">
      <c r="A16" s="2"/>
      <c r="B16" s="2"/>
      <c r="C16" s="2"/>
      <c r="D16" s="5" t="s">
        <v>24</v>
      </c>
      <c r="E16" s="2"/>
      <c r="F16" s="2"/>
      <c r="H16" s="26"/>
      <c r="I16" s="24" t="s">
        <v>46</v>
      </c>
      <c r="J16" s="24"/>
      <c r="K16" s="24"/>
      <c r="L16" s="24"/>
      <c r="M16" s="24"/>
      <c r="O16" s="18" t="s">
        <v>70</v>
      </c>
      <c r="P16" s="10"/>
      <c r="Q16" s="10"/>
      <c r="R16" s="11" t="s">
        <v>63</v>
      </c>
      <c r="T16" s="18" t="s">
        <v>73</v>
      </c>
      <c r="U16" s="10"/>
      <c r="V16" s="10"/>
      <c r="W16" s="11" t="s">
        <v>63</v>
      </c>
    </row>
    <row r="17" spans="1:23">
      <c r="A17" s="2"/>
      <c r="B17" s="2"/>
      <c r="C17" s="2"/>
      <c r="D17" s="2"/>
      <c r="E17" s="5" t="s">
        <v>7</v>
      </c>
      <c r="F17" s="2"/>
      <c r="H17" s="26"/>
      <c r="I17" s="24"/>
      <c r="J17" s="24"/>
      <c r="K17" s="24"/>
      <c r="L17" s="24"/>
      <c r="M17" s="24"/>
      <c r="O17" s="12"/>
      <c r="P17" s="13"/>
      <c r="Q17" s="13"/>
      <c r="R17" s="14"/>
      <c r="T17" s="12"/>
      <c r="U17" s="13"/>
      <c r="V17" s="13"/>
      <c r="W17" s="14"/>
    </row>
    <row r="18" spans="1:23">
      <c r="A18" s="2"/>
      <c r="B18" s="2"/>
      <c r="C18" s="2"/>
      <c r="D18" s="2"/>
      <c r="E18" s="2"/>
      <c r="F18" s="5" t="s">
        <v>17</v>
      </c>
      <c r="H18" s="26"/>
      <c r="I18" s="24" t="s">
        <v>47</v>
      </c>
      <c r="J18" s="24"/>
      <c r="K18" s="24"/>
      <c r="L18" s="24"/>
      <c r="M18" s="24"/>
      <c r="O18" s="12" t="s">
        <v>62</v>
      </c>
      <c r="P18" s="13"/>
      <c r="Q18" s="23">
        <v>6</v>
      </c>
      <c r="R18" s="14">
        <f>Q18*P24</f>
        <v>360</v>
      </c>
      <c r="T18" s="12" t="s">
        <v>62</v>
      </c>
      <c r="U18" s="13"/>
      <c r="V18" s="23">
        <v>6</v>
      </c>
      <c r="W18" s="14">
        <f>V18*U24</f>
        <v>108</v>
      </c>
    </row>
    <row r="19" spans="1:23">
      <c r="A19" s="7"/>
      <c r="B19" s="7"/>
      <c r="C19" s="7"/>
      <c r="D19" s="7"/>
      <c r="E19" s="7"/>
      <c r="F19" s="7"/>
      <c r="H19" s="26" t="s">
        <v>52</v>
      </c>
      <c r="I19" s="24" t="s">
        <v>48</v>
      </c>
      <c r="J19" s="24"/>
      <c r="K19" s="27">
        <v>3000</v>
      </c>
      <c r="L19" s="24"/>
      <c r="M19" s="24"/>
      <c r="O19" s="12" t="s">
        <v>76</v>
      </c>
      <c r="P19" s="13"/>
      <c r="Q19" s="13"/>
      <c r="R19" s="14">
        <f>IF(Q20&lt;=1.9,5500*1.2,IF(Q20&lt;=3,4700*1.2,4500*1.2))</f>
        <v>5400</v>
      </c>
      <c r="T19" s="12" t="s">
        <v>76</v>
      </c>
      <c r="U19" s="13"/>
      <c r="V19" s="13"/>
      <c r="W19" s="14">
        <f>IF(V20&lt;=1.9,2780*1.2,IF(V20&lt;=3,2680*1.2,2580*1.2))</f>
        <v>3096</v>
      </c>
    </row>
    <row r="20" spans="1:23">
      <c r="A20" s="3" t="s">
        <v>18</v>
      </c>
      <c r="B20" s="2"/>
      <c r="C20" s="2"/>
      <c r="D20" s="2"/>
      <c r="E20" s="2"/>
      <c r="F20" s="2"/>
      <c r="G20" t="s">
        <v>99</v>
      </c>
      <c r="H20" s="26"/>
      <c r="I20" s="24"/>
      <c r="J20" s="24"/>
      <c r="K20" s="24">
        <v>480</v>
      </c>
      <c r="L20" s="24"/>
      <c r="M20" s="24"/>
      <c r="O20" s="12" t="s">
        <v>65</v>
      </c>
      <c r="P20" s="13"/>
      <c r="Q20" s="23">
        <v>4</v>
      </c>
      <c r="R20" s="14">
        <f>R19*Q20</f>
        <v>21600</v>
      </c>
      <c r="T20" s="12" t="s">
        <v>65</v>
      </c>
      <c r="U20" s="13"/>
      <c r="V20" s="23">
        <v>4</v>
      </c>
      <c r="W20" s="14">
        <f>W19*V20</f>
        <v>12384</v>
      </c>
    </row>
    <row r="21" spans="1:23">
      <c r="A21" s="2"/>
      <c r="B21" s="4" t="s">
        <v>19</v>
      </c>
      <c r="C21" s="5" t="s">
        <v>20</v>
      </c>
      <c r="D21" s="2"/>
      <c r="E21" s="2"/>
      <c r="F21" s="2"/>
      <c r="G21" s="30">
        <f>7*35</f>
        <v>245</v>
      </c>
      <c r="H21" s="26"/>
      <c r="I21" s="24"/>
      <c r="J21" s="24"/>
      <c r="K21" s="27">
        <v>14100</v>
      </c>
      <c r="L21" s="24"/>
      <c r="M21" s="24"/>
      <c r="O21" s="12" t="s">
        <v>87</v>
      </c>
      <c r="P21" s="23">
        <v>1</v>
      </c>
      <c r="Q21" s="13">
        <f>Q20</f>
        <v>4</v>
      </c>
      <c r="R21" s="14">
        <f>Q21*P21*P28</f>
        <v>480</v>
      </c>
      <c r="T21" s="12" t="s">
        <v>87</v>
      </c>
      <c r="U21" s="23">
        <v>1</v>
      </c>
      <c r="V21" s="13">
        <f>V20</f>
        <v>4</v>
      </c>
      <c r="W21" s="14">
        <f>V21*U21*U28</f>
        <v>480</v>
      </c>
    </row>
    <row r="22" spans="1:23">
      <c r="A22" s="2"/>
      <c r="B22" s="2"/>
      <c r="C22" s="2"/>
      <c r="D22" s="5" t="s">
        <v>22</v>
      </c>
      <c r="E22" s="2"/>
      <c r="F22" s="2"/>
      <c r="H22" s="26"/>
      <c r="I22" s="24"/>
      <c r="J22" s="24"/>
      <c r="K22" s="27">
        <v>4650</v>
      </c>
      <c r="L22" s="24"/>
      <c r="M22" s="24"/>
      <c r="O22" s="12" t="s">
        <v>64</v>
      </c>
      <c r="P22" s="13" t="s">
        <v>66</v>
      </c>
      <c r="Q22" s="13"/>
      <c r="R22" s="19">
        <f>R17+R18+R20+R21</f>
        <v>22440</v>
      </c>
      <c r="T22" s="12" t="s">
        <v>64</v>
      </c>
      <c r="U22" s="13" t="s">
        <v>66</v>
      </c>
      <c r="V22" s="13"/>
      <c r="W22" s="19">
        <f>W17+W18+W20+W21</f>
        <v>12972</v>
      </c>
    </row>
    <row r="23" spans="1:23">
      <c r="A23" s="2"/>
      <c r="B23" s="2"/>
      <c r="C23" s="2"/>
      <c r="D23" s="2"/>
      <c r="E23" s="5" t="s">
        <v>21</v>
      </c>
      <c r="F23" s="2"/>
      <c r="H23" s="26"/>
      <c r="I23" s="24"/>
      <c r="J23" s="24"/>
      <c r="K23" s="28">
        <v>2400</v>
      </c>
      <c r="L23" s="24"/>
      <c r="M23" s="24"/>
      <c r="O23" s="12"/>
      <c r="P23" s="13"/>
      <c r="Q23" s="13"/>
      <c r="R23" s="14"/>
      <c r="T23" s="12"/>
      <c r="U23" s="13"/>
      <c r="V23" s="13"/>
      <c r="W23" s="14"/>
    </row>
    <row r="24" spans="1:23">
      <c r="A24" s="2"/>
      <c r="B24" s="2"/>
      <c r="C24" s="2"/>
      <c r="D24" s="2"/>
      <c r="E24" s="2"/>
      <c r="F24" s="5" t="s">
        <v>12</v>
      </c>
      <c r="H24" s="26"/>
      <c r="I24" s="24"/>
      <c r="J24" s="24"/>
      <c r="K24" s="24" t="s">
        <v>57</v>
      </c>
      <c r="L24" s="24"/>
      <c r="M24" s="24"/>
      <c r="O24" s="12" t="s">
        <v>67</v>
      </c>
      <c r="P24" s="13">
        <f>50*1.2</f>
        <v>60</v>
      </c>
      <c r="Q24" s="13"/>
      <c r="R24" s="14"/>
      <c r="T24" s="12" t="s">
        <v>67</v>
      </c>
      <c r="U24" s="13">
        <f>15*1.2</f>
        <v>18</v>
      </c>
      <c r="V24" s="13"/>
      <c r="W24" s="14"/>
    </row>
    <row r="25" spans="1:23">
      <c r="A25" s="7"/>
      <c r="B25" s="7"/>
      <c r="C25" s="7"/>
      <c r="D25" s="7"/>
      <c r="E25" s="7"/>
      <c r="F25" s="7"/>
      <c r="H25" s="26"/>
      <c r="I25" s="24"/>
      <c r="J25" s="24" t="s">
        <v>58</v>
      </c>
      <c r="K25" s="24"/>
      <c r="L25" s="24"/>
      <c r="M25" s="24"/>
      <c r="O25" s="12" t="s">
        <v>68</v>
      </c>
      <c r="P25" s="13">
        <f>5500*1.2</f>
        <v>6600</v>
      </c>
      <c r="Q25" s="13"/>
      <c r="R25" s="14"/>
      <c r="T25" s="12" t="s">
        <v>68</v>
      </c>
      <c r="U25" s="13">
        <f>2780*1.2</f>
        <v>3336</v>
      </c>
      <c r="V25" s="13"/>
      <c r="W25" s="14"/>
    </row>
    <row r="26" spans="1:23">
      <c r="A26" s="3" t="s">
        <v>25</v>
      </c>
      <c r="B26" s="2"/>
      <c r="C26" s="2"/>
      <c r="D26" s="2"/>
      <c r="E26" s="2"/>
      <c r="F26" s="2"/>
      <c r="G26" s="26"/>
      <c r="H26" s="24"/>
      <c r="J26" s="24"/>
      <c r="K26" s="24"/>
      <c r="L26" s="24"/>
      <c r="M26" s="24"/>
      <c r="O26" s="12" t="s">
        <v>69</v>
      </c>
      <c r="P26" s="13">
        <f>4700*1.2</f>
        <v>5640</v>
      </c>
      <c r="Q26" s="13"/>
      <c r="R26" s="14"/>
      <c r="T26" s="12" t="s">
        <v>69</v>
      </c>
      <c r="U26" s="13">
        <f>2680*1.2</f>
        <v>3216</v>
      </c>
      <c r="V26" s="13"/>
      <c r="W26" s="14"/>
    </row>
    <row r="27" spans="1:23">
      <c r="A27" s="2"/>
      <c r="B27" s="4"/>
      <c r="C27" s="5" t="s">
        <v>26</v>
      </c>
      <c r="D27" s="2"/>
      <c r="E27" s="2"/>
      <c r="F27" s="2"/>
      <c r="H27" s="21" t="s">
        <v>78</v>
      </c>
      <c r="I27" s="21"/>
      <c r="J27" s="21"/>
      <c r="L27" s="24"/>
      <c r="M27" s="24"/>
      <c r="O27" s="12" t="s">
        <v>71</v>
      </c>
      <c r="P27" s="13">
        <f>4500*1.2</f>
        <v>5400</v>
      </c>
      <c r="Q27" s="13"/>
      <c r="R27" s="14"/>
      <c r="T27" s="12" t="s">
        <v>71</v>
      </c>
      <c r="U27" s="13">
        <f>2580*1.2</f>
        <v>3096</v>
      </c>
      <c r="V27" s="13"/>
      <c r="W27" s="14"/>
    </row>
    <row r="28" spans="1:23" ht="15.75" thickBot="1">
      <c r="A28" s="2"/>
      <c r="B28" s="2"/>
      <c r="C28" s="2"/>
      <c r="D28" s="2"/>
      <c r="E28" s="2"/>
      <c r="F28" s="5" t="s">
        <v>27</v>
      </c>
      <c r="H28" s="21"/>
      <c r="I28" s="21" t="s">
        <v>79</v>
      </c>
      <c r="J28" s="21" t="s">
        <v>80</v>
      </c>
      <c r="L28" s="24"/>
      <c r="M28" s="24"/>
      <c r="O28" s="15" t="s">
        <v>77</v>
      </c>
      <c r="P28" s="16">
        <f>100*1.2</f>
        <v>120</v>
      </c>
      <c r="Q28" s="16"/>
      <c r="R28" s="17"/>
      <c r="T28" s="15" t="s">
        <v>77</v>
      </c>
      <c r="U28" s="16">
        <f>100*1.2</f>
        <v>120</v>
      </c>
      <c r="V28" s="16"/>
      <c r="W28" s="17"/>
    </row>
    <row r="29" spans="1:23" ht="15.75" thickBot="1">
      <c r="A29" s="7"/>
      <c r="B29" s="7"/>
      <c r="C29" s="7"/>
      <c r="D29" s="7"/>
      <c r="E29" s="7"/>
      <c r="F29" s="7"/>
      <c r="H29" s="21"/>
      <c r="I29" s="21" t="s">
        <v>28</v>
      </c>
      <c r="J29" s="22">
        <f>R8</f>
        <v>4653.6000000000004</v>
      </c>
      <c r="L29" s="24"/>
      <c r="M29" s="24"/>
    </row>
    <row r="30" spans="1:23">
      <c r="A30" s="3" t="s">
        <v>28</v>
      </c>
      <c r="B30" s="8"/>
      <c r="C30" s="2"/>
      <c r="D30" s="2"/>
      <c r="E30" s="2"/>
      <c r="F30" s="2"/>
      <c r="H30" s="21"/>
      <c r="I30" s="21" t="s">
        <v>14</v>
      </c>
      <c r="J30" s="22">
        <f>W8</f>
        <v>22920</v>
      </c>
      <c r="L30" s="24"/>
      <c r="M30" s="24"/>
      <c r="O30" s="18" t="s">
        <v>74</v>
      </c>
      <c r="P30" s="10"/>
      <c r="Q30" s="10"/>
      <c r="R30" s="11" t="s">
        <v>63</v>
      </c>
      <c r="T30" s="18" t="s">
        <v>75</v>
      </c>
      <c r="U30" s="10"/>
      <c r="V30" s="10"/>
      <c r="W30" s="11" t="s">
        <v>63</v>
      </c>
    </row>
    <row r="31" spans="1:23">
      <c r="A31" s="2"/>
      <c r="B31" s="4" t="s">
        <v>55</v>
      </c>
      <c r="C31" s="5" t="s">
        <v>31</v>
      </c>
      <c r="D31" s="2"/>
      <c r="E31" s="2"/>
      <c r="F31" s="2"/>
      <c r="G31" s="9"/>
      <c r="H31" s="21"/>
      <c r="I31" s="21" t="s">
        <v>81</v>
      </c>
      <c r="J31" s="22">
        <f>R22</f>
        <v>22440</v>
      </c>
      <c r="O31" s="12"/>
      <c r="P31" s="13"/>
      <c r="Q31" s="13"/>
      <c r="R31" s="14"/>
      <c r="T31" s="12"/>
      <c r="U31" s="13"/>
      <c r="V31" s="13"/>
      <c r="W31" s="14"/>
    </row>
    <row r="32" spans="1:23">
      <c r="A32" s="2"/>
      <c r="B32" s="2"/>
      <c r="C32" s="2"/>
      <c r="D32" s="6" t="s">
        <v>30</v>
      </c>
      <c r="E32" s="2"/>
      <c r="F32" s="2"/>
      <c r="H32" s="21"/>
      <c r="I32" s="21" t="s">
        <v>82</v>
      </c>
      <c r="J32" s="22">
        <f>W22</f>
        <v>12972</v>
      </c>
      <c r="O32" s="12" t="s">
        <v>62</v>
      </c>
      <c r="P32" s="13"/>
      <c r="Q32" s="23">
        <v>6</v>
      </c>
      <c r="R32" s="14">
        <f>Q32*P38</f>
        <v>57.599999999999994</v>
      </c>
      <c r="T32" s="12"/>
      <c r="U32" s="13"/>
      <c r="V32" s="13"/>
      <c r="W32" s="14"/>
    </row>
    <row r="33" spans="1:23">
      <c r="A33" s="2"/>
      <c r="B33" s="2"/>
      <c r="C33" s="2"/>
      <c r="D33" s="2"/>
      <c r="E33" s="5" t="s">
        <v>32</v>
      </c>
      <c r="F33" s="5" t="s">
        <v>12</v>
      </c>
      <c r="H33" s="21"/>
      <c r="I33" s="21" t="s">
        <v>9</v>
      </c>
      <c r="J33" s="22">
        <f>R36</f>
        <v>7977.6</v>
      </c>
      <c r="O33" s="12" t="s">
        <v>76</v>
      </c>
      <c r="P33" s="13"/>
      <c r="Q33" s="13"/>
      <c r="R33" s="14">
        <f>IF(Q34&lt;=1.9,1700*1.2,IF(Q34&lt;=3,1600*1.2,1550*1.2))</f>
        <v>1860</v>
      </c>
      <c r="T33" s="12" t="s">
        <v>76</v>
      </c>
      <c r="U33" s="13"/>
      <c r="V33" s="13"/>
      <c r="W33" s="14">
        <v>34000</v>
      </c>
    </row>
    <row r="34" spans="1:23">
      <c r="H34" s="21"/>
      <c r="I34" s="21" t="s">
        <v>83</v>
      </c>
      <c r="J34" s="22">
        <f>W36</f>
        <v>0</v>
      </c>
      <c r="O34" s="12" t="s">
        <v>65</v>
      </c>
      <c r="P34" s="13"/>
      <c r="Q34" s="23">
        <v>4</v>
      </c>
      <c r="R34" s="14">
        <f>R33*Q34</f>
        <v>7440</v>
      </c>
      <c r="T34" s="12" t="s">
        <v>65</v>
      </c>
      <c r="U34" s="13"/>
      <c r="V34" s="23">
        <v>0</v>
      </c>
      <c r="W34" s="14">
        <f>W33*V34</f>
        <v>0</v>
      </c>
    </row>
    <row r="35" spans="1:23">
      <c r="H35" s="21" t="s">
        <v>84</v>
      </c>
      <c r="I35" s="21"/>
      <c r="J35" s="22">
        <f>SUM(J29:J34)</f>
        <v>70963.199999999997</v>
      </c>
      <c r="O35" s="12" t="s">
        <v>87</v>
      </c>
      <c r="P35" s="23">
        <v>1</v>
      </c>
      <c r="Q35" s="13">
        <f>Q34</f>
        <v>4</v>
      </c>
      <c r="R35" s="14">
        <f>Q35*P35*P42</f>
        <v>480</v>
      </c>
      <c r="T35" s="12" t="s">
        <v>87</v>
      </c>
      <c r="U35" s="23">
        <v>1</v>
      </c>
      <c r="V35" s="13">
        <f>V34</f>
        <v>0</v>
      </c>
      <c r="W35" s="14">
        <f>V35*U35*U40</f>
        <v>0</v>
      </c>
    </row>
    <row r="36" spans="1:23">
      <c r="H36" t="s">
        <v>85</v>
      </c>
      <c r="J36" s="20">
        <f>J35*0.2</f>
        <v>14192.64</v>
      </c>
      <c r="O36" s="12" t="s">
        <v>64</v>
      </c>
      <c r="P36" s="13" t="s">
        <v>66</v>
      </c>
      <c r="Q36" s="13"/>
      <c r="R36" s="19">
        <f>R31+R32+R34+R35</f>
        <v>7977.6</v>
      </c>
      <c r="T36" s="12" t="s">
        <v>64</v>
      </c>
      <c r="U36" s="13" t="s">
        <v>66</v>
      </c>
      <c r="V36" s="13"/>
      <c r="W36" s="19">
        <f>W31+W32+W34+W35</f>
        <v>0</v>
      </c>
    </row>
    <row r="37" spans="1:23">
      <c r="O37" s="12"/>
      <c r="P37" s="13"/>
      <c r="Q37" s="13"/>
      <c r="R37" s="14"/>
      <c r="T37" s="12"/>
      <c r="U37" s="13"/>
      <c r="V37" s="13"/>
      <c r="W37" s="14"/>
    </row>
    <row r="38" spans="1:23">
      <c r="H38" t="s">
        <v>88</v>
      </c>
      <c r="J38" s="29">
        <f>J35/350</f>
        <v>202.75199999999998</v>
      </c>
      <c r="O38" s="12" t="s">
        <v>67</v>
      </c>
      <c r="P38" s="13">
        <f>8*1.2</f>
        <v>9.6</v>
      </c>
      <c r="Q38" s="13"/>
      <c r="R38" s="14"/>
      <c r="T38" s="12" t="s">
        <v>67</v>
      </c>
      <c r="U38" s="13">
        <v>0</v>
      </c>
      <c r="V38" s="13"/>
      <c r="W38" s="14"/>
    </row>
    <row r="39" spans="1:23">
      <c r="H39" t="s">
        <v>89</v>
      </c>
      <c r="O39" s="12" t="s">
        <v>68</v>
      </c>
      <c r="P39" s="13">
        <f>1700*1.2</f>
        <v>2040</v>
      </c>
      <c r="Q39" s="13"/>
      <c r="R39" s="14"/>
      <c r="T39" s="12" t="s">
        <v>68</v>
      </c>
      <c r="U39" s="13">
        <v>34000</v>
      </c>
      <c r="V39" s="13"/>
      <c r="W39" s="14"/>
    </row>
    <row r="40" spans="1:23">
      <c r="I40" t="s">
        <v>90</v>
      </c>
      <c r="J40">
        <v>10</v>
      </c>
      <c r="K40">
        <v>25</v>
      </c>
      <c r="L40">
        <v>50</v>
      </c>
      <c r="M40">
        <v>100</v>
      </c>
      <c r="O40" s="12" t="s">
        <v>69</v>
      </c>
      <c r="P40" s="13">
        <f>1600*1.2</f>
        <v>1920</v>
      </c>
      <c r="Q40" s="13"/>
      <c r="R40" s="14"/>
      <c r="T40" s="12" t="s">
        <v>77</v>
      </c>
      <c r="U40" s="13">
        <f>100*1.2</f>
        <v>120</v>
      </c>
      <c r="V40" s="13"/>
      <c r="W40" s="14"/>
    </row>
    <row r="41" spans="1:23">
      <c r="I41" t="s">
        <v>63</v>
      </c>
      <c r="J41" s="20">
        <f>J35/J40</f>
        <v>7096.32</v>
      </c>
      <c r="K41" s="20">
        <f>J35/K40</f>
        <v>2838.5279999999998</v>
      </c>
      <c r="L41" s="20">
        <f>J35/L40</f>
        <v>1419.2639999999999</v>
      </c>
      <c r="M41" s="20">
        <f>J35/M40</f>
        <v>709.63199999999995</v>
      </c>
      <c r="O41" s="12" t="s">
        <v>71</v>
      </c>
      <c r="P41" s="13">
        <f>1550*1.2</f>
        <v>1860</v>
      </c>
      <c r="Q41" s="13"/>
      <c r="R41" s="14"/>
      <c r="T41" s="12"/>
      <c r="U41" s="13"/>
      <c r="V41" s="13"/>
      <c r="W41" s="14"/>
    </row>
    <row r="42" spans="1:23" ht="15.75" thickBot="1">
      <c r="I42" t="s">
        <v>92</v>
      </c>
      <c r="J42" t="s">
        <v>93</v>
      </c>
      <c r="O42" s="15" t="s">
        <v>77</v>
      </c>
      <c r="P42" s="16">
        <f>100*1.2</f>
        <v>120</v>
      </c>
      <c r="Q42" s="16"/>
      <c r="R42" s="17"/>
      <c r="T42" s="15"/>
      <c r="U42" s="16"/>
      <c r="V42" s="16"/>
      <c r="W42" s="17"/>
    </row>
    <row r="43" spans="1:23">
      <c r="I43" t="s">
        <v>91</v>
      </c>
      <c r="J43">
        <v>3</v>
      </c>
    </row>
    <row r="44" spans="1:23">
      <c r="I44" t="s">
        <v>94</v>
      </c>
      <c r="J44">
        <v>12</v>
      </c>
    </row>
    <row r="45" spans="1:23">
      <c r="I45" t="s">
        <v>95</v>
      </c>
      <c r="J45">
        <v>5</v>
      </c>
    </row>
    <row r="46" spans="1:23">
      <c r="I46" t="s">
        <v>96</v>
      </c>
      <c r="J46">
        <v>60</v>
      </c>
    </row>
  </sheetData>
  <phoneticPr fontId="3" type="noConversion"/>
  <pageMargins left="0.70866141732283472" right="0.70866141732283472" top="0.78740157480314965" bottom="0.78740157480314965" header="0.31496062992125984" footer="0.31496062992125984"/>
  <pageSetup paperSize="9" scale="99" orientation="landscape" horizontalDpi="4294967293" r:id="rId1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W69"/>
  <sheetViews>
    <sheetView workbookViewId="0">
      <selection activeCell="H13" sqref="H13"/>
    </sheetView>
  </sheetViews>
  <sheetFormatPr defaultRowHeight="15"/>
  <cols>
    <col min="1" max="1" width="11" customWidth="1"/>
    <col min="2" max="2" width="19.85546875" style="31" customWidth="1"/>
    <col min="4" max="4" width="12.5703125" customWidth="1"/>
    <col min="5" max="5" width="12.28515625" customWidth="1"/>
    <col min="6" max="6" width="10.85546875" customWidth="1"/>
    <col min="7" max="7" width="11.140625" style="31" customWidth="1"/>
    <col min="8" max="8" width="10.28515625" style="31" customWidth="1"/>
    <col min="9" max="9" width="18" style="31" customWidth="1"/>
    <col min="10" max="10" width="10.7109375" customWidth="1"/>
    <col min="11" max="11" width="14.5703125" customWidth="1"/>
    <col min="12" max="12" width="11.42578125" customWidth="1"/>
    <col min="13" max="13" width="10.7109375" customWidth="1"/>
    <col min="14" max="14" width="9.42578125" style="31" customWidth="1"/>
    <col min="19" max="19" width="3.7109375" customWidth="1"/>
  </cols>
  <sheetData>
    <row r="1" spans="1:23" ht="23.25">
      <c r="A1" s="33" t="s">
        <v>129</v>
      </c>
      <c r="H1" s="91"/>
    </row>
    <row r="2" spans="1:23">
      <c r="H2" s="91"/>
    </row>
    <row r="3" spans="1:23">
      <c r="A3" s="34" t="s">
        <v>102</v>
      </c>
      <c r="B3" s="35" t="s">
        <v>100</v>
      </c>
      <c r="C3" s="36" t="s">
        <v>0</v>
      </c>
      <c r="D3" s="36" t="s">
        <v>117</v>
      </c>
      <c r="E3" s="36" t="s">
        <v>101</v>
      </c>
      <c r="F3" s="37" t="s">
        <v>63</v>
      </c>
      <c r="G3" s="87" t="s">
        <v>126</v>
      </c>
      <c r="H3" s="89" t="s">
        <v>102</v>
      </c>
      <c r="I3" s="35" t="s">
        <v>100</v>
      </c>
      <c r="J3" s="36" t="s">
        <v>0</v>
      </c>
      <c r="K3" s="36" t="s">
        <v>117</v>
      </c>
      <c r="L3" s="36" t="s">
        <v>101</v>
      </c>
      <c r="M3" s="37" t="s">
        <v>63</v>
      </c>
      <c r="N3" s="32" t="s">
        <v>126</v>
      </c>
      <c r="O3" t="s">
        <v>130</v>
      </c>
      <c r="P3" t="s">
        <v>131</v>
      </c>
      <c r="Q3" t="s">
        <v>101</v>
      </c>
      <c r="R3" t="s">
        <v>132</v>
      </c>
      <c r="T3" t="s">
        <v>130</v>
      </c>
      <c r="U3" t="s">
        <v>131</v>
      </c>
      <c r="V3" t="s">
        <v>101</v>
      </c>
      <c r="W3" t="s">
        <v>132</v>
      </c>
    </row>
    <row r="4" spans="1:23">
      <c r="A4" s="38" t="s">
        <v>103</v>
      </c>
      <c r="B4" s="93" t="s">
        <v>104</v>
      </c>
      <c r="C4" s="39" t="s">
        <v>105</v>
      </c>
      <c r="D4" s="40">
        <f>$B6*75</f>
        <v>3000</v>
      </c>
      <c r="E4" s="40">
        <f>$B8*5500</f>
        <v>22000</v>
      </c>
      <c r="F4" s="41">
        <f>IF(G4="X",E4+D4,0)</f>
        <v>0</v>
      </c>
      <c r="G4" s="88"/>
      <c r="H4" s="92" t="s">
        <v>120</v>
      </c>
      <c r="I4" s="93" t="s">
        <v>104</v>
      </c>
      <c r="J4" s="39" t="s">
        <v>105</v>
      </c>
      <c r="K4" s="40">
        <f>$I6*75</f>
        <v>3000</v>
      </c>
      <c r="L4" s="40">
        <v>7500</v>
      </c>
      <c r="M4" s="41">
        <f t="shared" ref="M4:M9" si="0">IF(N4="X",L4+K4,0)</f>
        <v>10500</v>
      </c>
      <c r="N4" s="88" t="s">
        <v>118</v>
      </c>
      <c r="P4" s="20">
        <f>D4*0.2</f>
        <v>600</v>
      </c>
      <c r="Q4" s="20">
        <f t="shared" ref="Q4:Q59" si="1">E4*0.2</f>
        <v>4400</v>
      </c>
      <c r="R4" s="20">
        <f>SUM(P4:Q4)</f>
        <v>5000</v>
      </c>
      <c r="U4" s="20">
        <f t="shared" ref="U4:U35" si="2">K4*0.2</f>
        <v>600</v>
      </c>
      <c r="V4" s="20">
        <f t="shared" ref="V4:V35" si="3">L4*0.2</f>
        <v>1500</v>
      </c>
      <c r="W4" s="20">
        <f>SUM(U4:V4)</f>
        <v>2100</v>
      </c>
    </row>
    <row r="5" spans="1:23">
      <c r="A5" s="38"/>
      <c r="B5" s="94" t="s">
        <v>117</v>
      </c>
      <c r="C5" s="39" t="s">
        <v>106</v>
      </c>
      <c r="D5" s="40">
        <f>$B6*75</f>
        <v>3000</v>
      </c>
      <c r="E5" s="40">
        <f>$B8*5600</f>
        <v>22400</v>
      </c>
      <c r="F5" s="41">
        <f t="shared" ref="F5:F58" si="4">IF(G5="X",E5+D5,0)</f>
        <v>0</v>
      </c>
      <c r="G5" s="88"/>
      <c r="H5" s="92"/>
      <c r="I5" s="94" t="s">
        <v>117</v>
      </c>
      <c r="J5" s="39" t="s">
        <v>106</v>
      </c>
      <c r="K5" s="40">
        <f>$I6*75</f>
        <v>3000</v>
      </c>
      <c r="L5" s="40">
        <v>6000</v>
      </c>
      <c r="M5" s="41">
        <f t="shared" si="0"/>
        <v>9000</v>
      </c>
      <c r="N5" s="88" t="s">
        <v>118</v>
      </c>
      <c r="P5" s="20">
        <f t="shared" ref="P5:P59" si="5">D5*0.2</f>
        <v>600</v>
      </c>
      <c r="Q5" s="20">
        <f t="shared" si="1"/>
        <v>4480</v>
      </c>
      <c r="R5" s="20">
        <f t="shared" ref="R5:R59" si="6">SUM(P5:Q5)</f>
        <v>5080</v>
      </c>
      <c r="U5" s="20">
        <f t="shared" si="2"/>
        <v>600</v>
      </c>
      <c r="V5" s="20">
        <f t="shared" si="3"/>
        <v>1200</v>
      </c>
      <c r="W5" s="20">
        <f t="shared" ref="W5:W59" si="7">SUM(U5:V5)</f>
        <v>1800</v>
      </c>
    </row>
    <row r="6" spans="1:23">
      <c r="A6" s="38"/>
      <c r="B6" s="94">
        <v>40</v>
      </c>
      <c r="C6" s="39" t="s">
        <v>9</v>
      </c>
      <c r="D6" s="40">
        <f>$B6*12</f>
        <v>480</v>
      </c>
      <c r="E6" s="40">
        <f>$B8*1950</f>
        <v>7800</v>
      </c>
      <c r="F6" s="41">
        <f t="shared" si="4"/>
        <v>0</v>
      </c>
      <c r="G6" s="88"/>
      <c r="H6" s="92"/>
      <c r="I6" s="94">
        <v>40</v>
      </c>
      <c r="J6" s="39" t="s">
        <v>9</v>
      </c>
      <c r="K6" s="40">
        <f>$I6*12</f>
        <v>480</v>
      </c>
      <c r="L6" s="40">
        <v>3000</v>
      </c>
      <c r="M6" s="41">
        <f t="shared" si="0"/>
        <v>3480</v>
      </c>
      <c r="N6" s="88" t="s">
        <v>118</v>
      </c>
      <c r="P6" s="20">
        <f t="shared" si="5"/>
        <v>96</v>
      </c>
      <c r="Q6" s="20">
        <f t="shared" si="1"/>
        <v>1560</v>
      </c>
      <c r="R6" s="20">
        <f t="shared" si="6"/>
        <v>1656</v>
      </c>
      <c r="U6" s="20">
        <f t="shared" si="2"/>
        <v>96</v>
      </c>
      <c r="V6" s="20">
        <f t="shared" si="3"/>
        <v>600</v>
      </c>
      <c r="W6" s="20">
        <f t="shared" si="7"/>
        <v>696</v>
      </c>
    </row>
    <row r="7" spans="1:23">
      <c r="A7" s="38"/>
      <c r="B7" s="94" t="s">
        <v>119</v>
      </c>
      <c r="C7" s="39" t="s">
        <v>107</v>
      </c>
      <c r="D7" s="40">
        <f>$B6*22</f>
        <v>880</v>
      </c>
      <c r="E7" s="40">
        <f>$B8*3180</f>
        <v>12720</v>
      </c>
      <c r="F7" s="41">
        <f t="shared" si="4"/>
        <v>0</v>
      </c>
      <c r="G7" s="88"/>
      <c r="H7" s="92"/>
      <c r="I7" s="94" t="s">
        <v>119</v>
      </c>
      <c r="J7" s="39" t="s">
        <v>107</v>
      </c>
      <c r="K7" s="40">
        <f>$I6*22</f>
        <v>880</v>
      </c>
      <c r="L7" s="40">
        <v>3000</v>
      </c>
      <c r="M7" s="41">
        <f t="shared" si="0"/>
        <v>3880</v>
      </c>
      <c r="N7" s="88" t="s">
        <v>118</v>
      </c>
      <c r="P7" s="20">
        <f t="shared" si="5"/>
        <v>176</v>
      </c>
      <c r="Q7" s="20">
        <f t="shared" si="1"/>
        <v>2544</v>
      </c>
      <c r="R7" s="20">
        <f t="shared" si="6"/>
        <v>2720</v>
      </c>
      <c r="U7" s="20">
        <f t="shared" si="2"/>
        <v>176</v>
      </c>
      <c r="V7" s="20">
        <f t="shared" si="3"/>
        <v>600</v>
      </c>
      <c r="W7" s="20">
        <f t="shared" si="7"/>
        <v>776</v>
      </c>
    </row>
    <row r="8" spans="1:23">
      <c r="A8" s="38"/>
      <c r="B8" s="94">
        <v>4</v>
      </c>
      <c r="C8" s="39" t="s">
        <v>108</v>
      </c>
      <c r="D8" s="40">
        <f>$B6*20</f>
        <v>800</v>
      </c>
      <c r="E8" s="40">
        <f>$B8*1250</f>
        <v>5000</v>
      </c>
      <c r="F8" s="41">
        <f t="shared" si="4"/>
        <v>0</v>
      </c>
      <c r="G8" s="88"/>
      <c r="H8" s="92"/>
      <c r="I8" s="94">
        <v>4</v>
      </c>
      <c r="J8" s="39" t="s">
        <v>108</v>
      </c>
      <c r="K8" s="40">
        <f>$I6*20</f>
        <v>800</v>
      </c>
      <c r="L8" s="40">
        <v>3000</v>
      </c>
      <c r="M8" s="41">
        <f t="shared" si="0"/>
        <v>3800</v>
      </c>
      <c r="N8" s="88" t="s">
        <v>118</v>
      </c>
      <c r="P8" s="20">
        <f t="shared" si="5"/>
        <v>160</v>
      </c>
      <c r="Q8" s="20">
        <f t="shared" si="1"/>
        <v>1000</v>
      </c>
      <c r="R8" s="20">
        <f t="shared" si="6"/>
        <v>1160</v>
      </c>
      <c r="U8" s="20">
        <f t="shared" si="2"/>
        <v>160</v>
      </c>
      <c r="V8" s="20">
        <f t="shared" si="3"/>
        <v>600</v>
      </c>
      <c r="W8" s="20">
        <f t="shared" si="7"/>
        <v>760</v>
      </c>
    </row>
    <row r="9" spans="1:23">
      <c r="A9" s="38"/>
      <c r="B9" s="94"/>
      <c r="C9" s="39" t="s">
        <v>111</v>
      </c>
      <c r="D9" s="40">
        <v>0</v>
      </c>
      <c r="E9" s="40">
        <v>3750</v>
      </c>
      <c r="F9" s="41">
        <f t="shared" si="4"/>
        <v>0</v>
      </c>
      <c r="G9" s="88"/>
      <c r="H9" s="92"/>
      <c r="I9" s="94"/>
      <c r="J9" s="39" t="s">
        <v>111</v>
      </c>
      <c r="K9" s="40">
        <v>0</v>
      </c>
      <c r="L9" s="40">
        <v>3750</v>
      </c>
      <c r="M9" s="41">
        <f t="shared" si="0"/>
        <v>0</v>
      </c>
      <c r="N9" s="88"/>
      <c r="P9" s="20">
        <f t="shared" si="5"/>
        <v>0</v>
      </c>
      <c r="Q9" s="20">
        <f t="shared" si="1"/>
        <v>750</v>
      </c>
      <c r="R9" s="20">
        <f t="shared" si="6"/>
        <v>750</v>
      </c>
      <c r="U9" s="20">
        <f t="shared" si="2"/>
        <v>0</v>
      </c>
      <c r="V9" s="20">
        <f t="shared" si="3"/>
        <v>750</v>
      </c>
      <c r="W9" s="20">
        <f t="shared" si="7"/>
        <v>750</v>
      </c>
    </row>
    <row r="10" spans="1:23">
      <c r="A10" s="38"/>
      <c r="B10" s="94"/>
      <c r="C10" s="42" t="s">
        <v>64</v>
      </c>
      <c r="D10" s="43">
        <f>SUM(D4:D9)</f>
        <v>8160</v>
      </c>
      <c r="E10" s="43">
        <f>SUM(E4:E9)</f>
        <v>73670</v>
      </c>
      <c r="F10" s="44">
        <f>SUM(F4:F9)*1.2</f>
        <v>0</v>
      </c>
      <c r="G10" s="88"/>
      <c r="H10" s="92"/>
      <c r="I10" s="94"/>
      <c r="J10" s="42" t="s">
        <v>64</v>
      </c>
      <c r="K10" s="43">
        <f>SUM(K4:K9)</f>
        <v>8160</v>
      </c>
      <c r="L10" s="43">
        <f>SUM(L4:L9)</f>
        <v>26250</v>
      </c>
      <c r="M10" s="44">
        <f>SUM(M4:M9)*1.2</f>
        <v>36792</v>
      </c>
      <c r="N10" s="88"/>
      <c r="P10" s="90">
        <f t="shared" si="5"/>
        <v>1632</v>
      </c>
      <c r="Q10" s="90">
        <f t="shared" si="1"/>
        <v>14734</v>
      </c>
      <c r="R10" s="90">
        <f t="shared" si="6"/>
        <v>16366</v>
      </c>
      <c r="U10" s="90">
        <f t="shared" si="2"/>
        <v>1632</v>
      </c>
      <c r="V10" s="90">
        <f t="shared" si="3"/>
        <v>5250</v>
      </c>
      <c r="W10" s="90">
        <f t="shared" si="7"/>
        <v>6882</v>
      </c>
    </row>
    <row r="11" spans="1:23">
      <c r="A11" s="38"/>
      <c r="B11" s="95" t="s">
        <v>109</v>
      </c>
      <c r="C11" s="45" t="s">
        <v>105</v>
      </c>
      <c r="D11" s="46">
        <f>$B13*75</f>
        <v>7500</v>
      </c>
      <c r="E11" s="46">
        <f>$B15*5500</f>
        <v>22000</v>
      </c>
      <c r="F11" s="47">
        <f t="shared" si="4"/>
        <v>0</v>
      </c>
      <c r="G11" s="88"/>
      <c r="H11" s="92"/>
      <c r="I11" s="95" t="s">
        <v>109</v>
      </c>
      <c r="J11" s="45" t="s">
        <v>105</v>
      </c>
      <c r="K11" s="46">
        <f>$I13*75</f>
        <v>7500</v>
      </c>
      <c r="L11" s="46">
        <v>7500</v>
      </c>
      <c r="M11" s="47">
        <f t="shared" ref="M11:M16" si="8">IF(N11="X",L11+K11,0)</f>
        <v>15000</v>
      </c>
      <c r="N11" s="88" t="s">
        <v>118</v>
      </c>
      <c r="P11" s="20">
        <f t="shared" si="5"/>
        <v>1500</v>
      </c>
      <c r="Q11" s="20">
        <f t="shared" si="1"/>
        <v>4400</v>
      </c>
      <c r="R11" s="20">
        <f t="shared" si="6"/>
        <v>5900</v>
      </c>
      <c r="U11" s="20">
        <f t="shared" si="2"/>
        <v>1500</v>
      </c>
      <c r="V11" s="20">
        <f t="shared" si="3"/>
        <v>1500</v>
      </c>
      <c r="W11" s="20">
        <f t="shared" si="7"/>
        <v>3000</v>
      </c>
    </row>
    <row r="12" spans="1:23">
      <c r="A12" s="38"/>
      <c r="B12" s="96" t="s">
        <v>117</v>
      </c>
      <c r="C12" s="45" t="s">
        <v>106</v>
      </c>
      <c r="D12" s="46">
        <f>$B13*75</f>
        <v>7500</v>
      </c>
      <c r="E12" s="46">
        <f>$B15*5600</f>
        <v>22400</v>
      </c>
      <c r="F12" s="47">
        <f t="shared" si="4"/>
        <v>0</v>
      </c>
      <c r="G12" s="88"/>
      <c r="H12" s="92"/>
      <c r="I12" s="96" t="s">
        <v>117</v>
      </c>
      <c r="J12" s="45" t="s">
        <v>106</v>
      </c>
      <c r="K12" s="46">
        <f>$I13*75</f>
        <v>7500</v>
      </c>
      <c r="L12" s="46">
        <v>6000</v>
      </c>
      <c r="M12" s="47">
        <f t="shared" si="8"/>
        <v>13500</v>
      </c>
      <c r="N12" s="88" t="s">
        <v>118</v>
      </c>
      <c r="P12" s="20">
        <f t="shared" si="5"/>
        <v>1500</v>
      </c>
      <c r="Q12" s="20">
        <f t="shared" si="1"/>
        <v>4480</v>
      </c>
      <c r="R12" s="20">
        <f t="shared" si="6"/>
        <v>5980</v>
      </c>
      <c r="U12" s="20">
        <f t="shared" si="2"/>
        <v>1500</v>
      </c>
      <c r="V12" s="20">
        <f t="shared" si="3"/>
        <v>1200</v>
      </c>
      <c r="W12" s="20">
        <f t="shared" si="7"/>
        <v>2700</v>
      </c>
    </row>
    <row r="13" spans="1:23">
      <c r="A13" s="38"/>
      <c r="B13" s="96">
        <v>100</v>
      </c>
      <c r="C13" s="45" t="s">
        <v>9</v>
      </c>
      <c r="D13" s="46">
        <f>$B13*12</f>
        <v>1200</v>
      </c>
      <c r="E13" s="46">
        <f>$B15*1950</f>
        <v>7800</v>
      </c>
      <c r="F13" s="47">
        <f t="shared" si="4"/>
        <v>0</v>
      </c>
      <c r="G13" s="88"/>
      <c r="H13" s="92"/>
      <c r="I13" s="96">
        <v>100</v>
      </c>
      <c r="J13" s="45" t="s">
        <v>9</v>
      </c>
      <c r="K13" s="46">
        <f>$I13*12</f>
        <v>1200</v>
      </c>
      <c r="L13" s="46">
        <v>3000</v>
      </c>
      <c r="M13" s="47">
        <f t="shared" si="8"/>
        <v>4200</v>
      </c>
      <c r="N13" s="88" t="s">
        <v>118</v>
      </c>
      <c r="P13" s="20">
        <f t="shared" si="5"/>
        <v>240</v>
      </c>
      <c r="Q13" s="20">
        <f t="shared" si="1"/>
        <v>1560</v>
      </c>
      <c r="R13" s="20">
        <f t="shared" si="6"/>
        <v>1800</v>
      </c>
      <c r="U13" s="20">
        <f t="shared" si="2"/>
        <v>240</v>
      </c>
      <c r="V13" s="20">
        <f t="shared" si="3"/>
        <v>600</v>
      </c>
      <c r="W13" s="20">
        <f t="shared" si="7"/>
        <v>840</v>
      </c>
    </row>
    <row r="14" spans="1:23">
      <c r="A14" s="38"/>
      <c r="B14" s="96" t="s">
        <v>119</v>
      </c>
      <c r="C14" s="45" t="s">
        <v>107</v>
      </c>
      <c r="D14" s="46">
        <f>$B13*22</f>
        <v>2200</v>
      </c>
      <c r="E14" s="46">
        <f>$B15*3180</f>
        <v>12720</v>
      </c>
      <c r="F14" s="47">
        <f t="shared" si="4"/>
        <v>0</v>
      </c>
      <c r="G14" s="88"/>
      <c r="H14" s="92"/>
      <c r="I14" s="96" t="s">
        <v>119</v>
      </c>
      <c r="J14" s="45" t="s">
        <v>107</v>
      </c>
      <c r="K14" s="46">
        <f>$I13*22</f>
        <v>2200</v>
      </c>
      <c r="L14" s="46">
        <v>3000</v>
      </c>
      <c r="M14" s="47">
        <f t="shared" si="8"/>
        <v>5200</v>
      </c>
      <c r="N14" s="88" t="s">
        <v>118</v>
      </c>
      <c r="P14" s="20">
        <f t="shared" si="5"/>
        <v>440</v>
      </c>
      <c r="Q14" s="20">
        <f t="shared" si="1"/>
        <v>2544</v>
      </c>
      <c r="R14" s="20">
        <f t="shared" si="6"/>
        <v>2984</v>
      </c>
      <c r="U14" s="20">
        <f t="shared" si="2"/>
        <v>440</v>
      </c>
      <c r="V14" s="20">
        <f t="shared" si="3"/>
        <v>600</v>
      </c>
      <c r="W14" s="20">
        <f t="shared" si="7"/>
        <v>1040</v>
      </c>
    </row>
    <row r="15" spans="1:23">
      <c r="A15" s="38"/>
      <c r="B15" s="96">
        <v>4</v>
      </c>
      <c r="C15" s="45" t="s">
        <v>108</v>
      </c>
      <c r="D15" s="46">
        <f>$B13*20</f>
        <v>2000</v>
      </c>
      <c r="E15" s="46">
        <f>$B15*1250</f>
        <v>5000</v>
      </c>
      <c r="F15" s="47">
        <f t="shared" si="4"/>
        <v>0</v>
      </c>
      <c r="G15" s="88"/>
      <c r="H15" s="92"/>
      <c r="I15" s="96">
        <v>4</v>
      </c>
      <c r="J15" s="45" t="s">
        <v>108</v>
      </c>
      <c r="K15" s="46">
        <f>$I13*20</f>
        <v>2000</v>
      </c>
      <c r="L15" s="46">
        <v>3000</v>
      </c>
      <c r="M15" s="47">
        <f t="shared" si="8"/>
        <v>5000</v>
      </c>
      <c r="N15" s="88" t="s">
        <v>118</v>
      </c>
      <c r="P15" s="20">
        <f t="shared" si="5"/>
        <v>400</v>
      </c>
      <c r="Q15" s="20">
        <f t="shared" si="1"/>
        <v>1000</v>
      </c>
      <c r="R15" s="20">
        <f t="shared" si="6"/>
        <v>1400</v>
      </c>
      <c r="U15" s="20">
        <f t="shared" si="2"/>
        <v>400</v>
      </c>
      <c r="V15" s="20">
        <f t="shared" si="3"/>
        <v>600</v>
      </c>
      <c r="W15" s="20">
        <f t="shared" si="7"/>
        <v>1000</v>
      </c>
    </row>
    <row r="16" spans="1:23">
      <c r="A16" s="38"/>
      <c r="B16" s="96"/>
      <c r="C16" s="45" t="s">
        <v>111</v>
      </c>
      <c r="D16" s="46">
        <v>0</v>
      </c>
      <c r="E16" s="46">
        <v>3750</v>
      </c>
      <c r="F16" s="47">
        <f t="shared" si="4"/>
        <v>0</v>
      </c>
      <c r="G16" s="88"/>
      <c r="H16" s="92"/>
      <c r="I16" s="96"/>
      <c r="J16" s="45" t="s">
        <v>111</v>
      </c>
      <c r="K16" s="46">
        <v>0</v>
      </c>
      <c r="L16" s="46">
        <v>3750</v>
      </c>
      <c r="M16" s="47">
        <f t="shared" si="8"/>
        <v>0</v>
      </c>
      <c r="N16" s="88"/>
      <c r="P16" s="20">
        <f t="shared" si="5"/>
        <v>0</v>
      </c>
      <c r="Q16" s="20">
        <f t="shared" si="1"/>
        <v>750</v>
      </c>
      <c r="R16" s="20">
        <f t="shared" si="6"/>
        <v>750</v>
      </c>
      <c r="U16" s="20">
        <f t="shared" si="2"/>
        <v>0</v>
      </c>
      <c r="V16" s="20">
        <f t="shared" si="3"/>
        <v>750</v>
      </c>
      <c r="W16" s="20">
        <f t="shared" si="7"/>
        <v>750</v>
      </c>
    </row>
    <row r="17" spans="1:23">
      <c r="A17" s="38"/>
      <c r="B17" s="96"/>
      <c r="C17" s="48" t="s">
        <v>64</v>
      </c>
      <c r="D17" s="49">
        <f>SUM(D11:D16)</f>
        <v>20400</v>
      </c>
      <c r="E17" s="49">
        <f>SUM(E11:E16)</f>
        <v>73670</v>
      </c>
      <c r="F17" s="50">
        <f>SUM(F11:F16)*1.2</f>
        <v>0</v>
      </c>
      <c r="G17" s="88"/>
      <c r="H17" s="92"/>
      <c r="I17" s="96"/>
      <c r="J17" s="48" t="s">
        <v>64</v>
      </c>
      <c r="K17" s="49">
        <f>SUM(K11:K16)</f>
        <v>20400</v>
      </c>
      <c r="L17" s="49">
        <f>SUM(L11:L16)</f>
        <v>26250</v>
      </c>
      <c r="M17" s="50">
        <f>SUM(M11:M16)*1.2</f>
        <v>51480</v>
      </c>
      <c r="N17" s="88"/>
      <c r="P17" s="90">
        <f t="shared" si="5"/>
        <v>4080</v>
      </c>
      <c r="Q17" s="90">
        <f t="shared" si="1"/>
        <v>14734</v>
      </c>
      <c r="R17" s="90">
        <f t="shared" si="6"/>
        <v>18814</v>
      </c>
      <c r="U17" s="90">
        <f t="shared" si="2"/>
        <v>4080</v>
      </c>
      <c r="V17" s="90">
        <f t="shared" si="3"/>
        <v>5250</v>
      </c>
      <c r="W17" s="90">
        <f t="shared" si="7"/>
        <v>9330</v>
      </c>
    </row>
    <row r="18" spans="1:23">
      <c r="A18" s="38"/>
      <c r="B18" s="97" t="s">
        <v>110</v>
      </c>
      <c r="C18" s="51" t="s">
        <v>105</v>
      </c>
      <c r="D18" s="52">
        <f>$B20*75</f>
        <v>750</v>
      </c>
      <c r="E18" s="52">
        <f>$B22*5500</f>
        <v>22000</v>
      </c>
      <c r="F18" s="53">
        <f t="shared" si="4"/>
        <v>22750</v>
      </c>
      <c r="G18" s="88" t="s">
        <v>118</v>
      </c>
      <c r="H18" s="92"/>
      <c r="I18" s="97" t="s">
        <v>110</v>
      </c>
      <c r="J18" s="51" t="s">
        <v>105</v>
      </c>
      <c r="K18" s="52">
        <f>$I20*75</f>
        <v>750</v>
      </c>
      <c r="L18" s="52">
        <v>7500</v>
      </c>
      <c r="M18" s="53">
        <f t="shared" ref="M18:M23" si="9">IF(N18="X",L18+K18,0)</f>
        <v>0</v>
      </c>
      <c r="N18" s="88"/>
      <c r="P18" s="20">
        <f t="shared" si="5"/>
        <v>150</v>
      </c>
      <c r="Q18" s="20">
        <f t="shared" si="1"/>
        <v>4400</v>
      </c>
      <c r="R18" s="20">
        <f t="shared" si="6"/>
        <v>4550</v>
      </c>
      <c r="U18" s="20">
        <f t="shared" si="2"/>
        <v>150</v>
      </c>
      <c r="V18" s="20">
        <f t="shared" si="3"/>
        <v>1500</v>
      </c>
      <c r="W18" s="20">
        <f t="shared" si="7"/>
        <v>1650</v>
      </c>
    </row>
    <row r="19" spans="1:23">
      <c r="A19" s="38"/>
      <c r="B19" s="98" t="s">
        <v>117</v>
      </c>
      <c r="C19" s="51" t="s">
        <v>106</v>
      </c>
      <c r="D19" s="52">
        <f>$B20*75</f>
        <v>750</v>
      </c>
      <c r="E19" s="52">
        <f>$B22*5600</f>
        <v>22400</v>
      </c>
      <c r="F19" s="53">
        <f t="shared" si="4"/>
        <v>23150</v>
      </c>
      <c r="G19" s="88" t="s">
        <v>118</v>
      </c>
      <c r="H19" s="92"/>
      <c r="I19" s="98" t="s">
        <v>117</v>
      </c>
      <c r="J19" s="51" t="s">
        <v>106</v>
      </c>
      <c r="K19" s="52">
        <f>$I20*75</f>
        <v>750</v>
      </c>
      <c r="L19" s="52">
        <v>6000</v>
      </c>
      <c r="M19" s="53">
        <f t="shared" si="9"/>
        <v>0</v>
      </c>
      <c r="N19" s="88"/>
      <c r="P19" s="20">
        <f t="shared" si="5"/>
        <v>150</v>
      </c>
      <c r="Q19" s="20">
        <f t="shared" si="1"/>
        <v>4480</v>
      </c>
      <c r="R19" s="20">
        <f t="shared" si="6"/>
        <v>4630</v>
      </c>
      <c r="U19" s="20">
        <f t="shared" si="2"/>
        <v>150</v>
      </c>
      <c r="V19" s="20">
        <f t="shared" si="3"/>
        <v>1200</v>
      </c>
      <c r="W19" s="20">
        <f t="shared" si="7"/>
        <v>1350</v>
      </c>
    </row>
    <row r="20" spans="1:23">
      <c r="A20" s="38"/>
      <c r="B20" s="98">
        <v>10</v>
      </c>
      <c r="C20" s="51" t="s">
        <v>9</v>
      </c>
      <c r="D20" s="52">
        <f>$B20*12</f>
        <v>120</v>
      </c>
      <c r="E20" s="52">
        <f>$B22*1950</f>
        <v>7800</v>
      </c>
      <c r="F20" s="53">
        <f t="shared" si="4"/>
        <v>7920</v>
      </c>
      <c r="G20" s="88" t="s">
        <v>118</v>
      </c>
      <c r="H20" s="92"/>
      <c r="I20" s="98">
        <v>10</v>
      </c>
      <c r="J20" s="51" t="s">
        <v>9</v>
      </c>
      <c r="K20" s="52">
        <f>$I20*12</f>
        <v>120</v>
      </c>
      <c r="L20" s="52">
        <v>3000</v>
      </c>
      <c r="M20" s="53">
        <f t="shared" si="9"/>
        <v>0</v>
      </c>
      <c r="N20" s="88"/>
      <c r="P20" s="20">
        <f t="shared" si="5"/>
        <v>24</v>
      </c>
      <c r="Q20" s="20">
        <f t="shared" si="1"/>
        <v>1560</v>
      </c>
      <c r="R20" s="20">
        <f t="shared" si="6"/>
        <v>1584</v>
      </c>
      <c r="U20" s="20">
        <f t="shared" si="2"/>
        <v>24</v>
      </c>
      <c r="V20" s="20">
        <f t="shared" si="3"/>
        <v>600</v>
      </c>
      <c r="W20" s="20">
        <f t="shared" si="7"/>
        <v>624</v>
      </c>
    </row>
    <row r="21" spans="1:23">
      <c r="A21" s="38"/>
      <c r="B21" s="98" t="s">
        <v>119</v>
      </c>
      <c r="C21" s="51" t="s">
        <v>107</v>
      </c>
      <c r="D21" s="52">
        <f>$B20*22</f>
        <v>220</v>
      </c>
      <c r="E21" s="52">
        <f>$B22*3180</f>
        <v>12720</v>
      </c>
      <c r="F21" s="53">
        <f t="shared" si="4"/>
        <v>12940</v>
      </c>
      <c r="G21" s="88" t="s">
        <v>118</v>
      </c>
      <c r="H21" s="92"/>
      <c r="I21" s="98" t="s">
        <v>119</v>
      </c>
      <c r="J21" s="51" t="s">
        <v>107</v>
      </c>
      <c r="K21" s="52">
        <f>$I20*22</f>
        <v>220</v>
      </c>
      <c r="L21" s="52">
        <v>3000</v>
      </c>
      <c r="M21" s="53">
        <f t="shared" si="9"/>
        <v>0</v>
      </c>
      <c r="N21" s="88"/>
      <c r="P21" s="20">
        <f t="shared" si="5"/>
        <v>44</v>
      </c>
      <c r="Q21" s="20">
        <f t="shared" si="1"/>
        <v>2544</v>
      </c>
      <c r="R21" s="20">
        <f t="shared" si="6"/>
        <v>2588</v>
      </c>
      <c r="U21" s="20">
        <f t="shared" si="2"/>
        <v>44</v>
      </c>
      <c r="V21" s="20">
        <f t="shared" si="3"/>
        <v>600</v>
      </c>
      <c r="W21" s="20">
        <f t="shared" si="7"/>
        <v>644</v>
      </c>
    </row>
    <row r="22" spans="1:23">
      <c r="A22" s="38"/>
      <c r="B22" s="98">
        <v>4</v>
      </c>
      <c r="C22" s="51" t="s">
        <v>108</v>
      </c>
      <c r="D22" s="52">
        <f>$B20*20</f>
        <v>200</v>
      </c>
      <c r="E22" s="52">
        <f>$B22*1250</f>
        <v>5000</v>
      </c>
      <c r="F22" s="53">
        <f t="shared" si="4"/>
        <v>5200</v>
      </c>
      <c r="G22" s="88" t="s">
        <v>118</v>
      </c>
      <c r="H22" s="92"/>
      <c r="I22" s="98">
        <v>4</v>
      </c>
      <c r="J22" s="51" t="s">
        <v>108</v>
      </c>
      <c r="K22" s="52">
        <f>$I20*20</f>
        <v>200</v>
      </c>
      <c r="L22" s="52">
        <v>3000</v>
      </c>
      <c r="M22" s="53">
        <f t="shared" si="9"/>
        <v>0</v>
      </c>
      <c r="N22" s="88"/>
      <c r="P22" s="20">
        <f t="shared" si="5"/>
        <v>40</v>
      </c>
      <c r="Q22" s="20">
        <f t="shared" si="1"/>
        <v>1000</v>
      </c>
      <c r="R22" s="20">
        <f t="shared" si="6"/>
        <v>1040</v>
      </c>
      <c r="U22" s="20">
        <f t="shared" si="2"/>
        <v>40</v>
      </c>
      <c r="V22" s="20">
        <f t="shared" si="3"/>
        <v>600</v>
      </c>
      <c r="W22" s="20">
        <f t="shared" si="7"/>
        <v>640</v>
      </c>
    </row>
    <row r="23" spans="1:23">
      <c r="A23" s="38"/>
      <c r="B23" s="98"/>
      <c r="C23" s="51" t="s">
        <v>111</v>
      </c>
      <c r="D23" s="52">
        <v>0</v>
      </c>
      <c r="E23" s="52">
        <v>3750</v>
      </c>
      <c r="F23" s="53">
        <f t="shared" si="4"/>
        <v>3750</v>
      </c>
      <c r="G23" s="88" t="s">
        <v>118</v>
      </c>
      <c r="H23" s="92"/>
      <c r="I23" s="98"/>
      <c r="J23" s="51" t="s">
        <v>111</v>
      </c>
      <c r="K23" s="52">
        <v>0</v>
      </c>
      <c r="L23" s="52">
        <v>3750</v>
      </c>
      <c r="M23" s="53">
        <f t="shared" si="9"/>
        <v>0</v>
      </c>
      <c r="N23" s="88"/>
      <c r="P23" s="20">
        <f t="shared" si="5"/>
        <v>0</v>
      </c>
      <c r="Q23" s="20">
        <f t="shared" si="1"/>
        <v>750</v>
      </c>
      <c r="R23" s="20">
        <f t="shared" si="6"/>
        <v>750</v>
      </c>
      <c r="U23" s="20">
        <f t="shared" si="2"/>
        <v>0</v>
      </c>
      <c r="V23" s="20">
        <f t="shared" si="3"/>
        <v>750</v>
      </c>
      <c r="W23" s="20">
        <f t="shared" si="7"/>
        <v>750</v>
      </c>
    </row>
    <row r="24" spans="1:23">
      <c r="A24" s="38"/>
      <c r="B24" s="98"/>
      <c r="C24" s="54" t="s">
        <v>64</v>
      </c>
      <c r="D24" s="55">
        <f>SUM(D18:D23)</f>
        <v>2040</v>
      </c>
      <c r="E24" s="55">
        <f>SUM(E18:E23)</f>
        <v>73670</v>
      </c>
      <c r="F24" s="56">
        <f>SUM(F18:F23)*1.2</f>
        <v>90852</v>
      </c>
      <c r="G24" s="88"/>
      <c r="H24" s="92"/>
      <c r="I24" s="98"/>
      <c r="J24" s="54" t="s">
        <v>64</v>
      </c>
      <c r="K24" s="55">
        <f>SUM(K18:K23)</f>
        <v>2040</v>
      </c>
      <c r="L24" s="55">
        <f>SUM(L18:L23)</f>
        <v>26250</v>
      </c>
      <c r="M24" s="56">
        <f>SUM(M18:M23)*1.2</f>
        <v>0</v>
      </c>
      <c r="N24" s="88"/>
      <c r="P24" s="90">
        <f t="shared" si="5"/>
        <v>408</v>
      </c>
      <c r="Q24" s="90">
        <f t="shared" si="1"/>
        <v>14734</v>
      </c>
      <c r="R24" s="90">
        <f t="shared" si="6"/>
        <v>15142</v>
      </c>
      <c r="U24" s="90">
        <f t="shared" si="2"/>
        <v>408</v>
      </c>
      <c r="V24" s="90">
        <f t="shared" si="3"/>
        <v>5250</v>
      </c>
      <c r="W24" s="90">
        <f t="shared" si="7"/>
        <v>5658</v>
      </c>
    </row>
    <row r="25" spans="1:23">
      <c r="A25" s="38"/>
      <c r="B25" s="99" t="s">
        <v>112</v>
      </c>
      <c r="C25" s="57" t="s">
        <v>105</v>
      </c>
      <c r="D25" s="58">
        <f>$B27*75</f>
        <v>1875</v>
      </c>
      <c r="E25" s="58">
        <f>$B29*5500</f>
        <v>22000</v>
      </c>
      <c r="F25" s="59">
        <f t="shared" si="4"/>
        <v>0</v>
      </c>
      <c r="G25" s="88"/>
      <c r="H25" s="92"/>
      <c r="I25" s="99" t="s">
        <v>112</v>
      </c>
      <c r="J25" s="57" t="s">
        <v>105</v>
      </c>
      <c r="K25" s="58">
        <f>$I27*75</f>
        <v>1875</v>
      </c>
      <c r="L25" s="58">
        <v>7500</v>
      </c>
      <c r="M25" s="59">
        <f t="shared" ref="M25:M30" si="10">IF(N25="X",L25+K25,0)</f>
        <v>9375</v>
      </c>
      <c r="N25" s="88" t="s">
        <v>118</v>
      </c>
      <c r="P25" s="20">
        <f t="shared" si="5"/>
        <v>375</v>
      </c>
      <c r="Q25" s="20">
        <f t="shared" si="1"/>
        <v>4400</v>
      </c>
      <c r="R25" s="20">
        <f t="shared" si="6"/>
        <v>4775</v>
      </c>
      <c r="U25" s="20">
        <f t="shared" si="2"/>
        <v>375</v>
      </c>
      <c r="V25" s="20">
        <f t="shared" si="3"/>
        <v>1500</v>
      </c>
      <c r="W25" s="20">
        <f t="shared" si="7"/>
        <v>1875</v>
      </c>
    </row>
    <row r="26" spans="1:23">
      <c r="A26" s="38"/>
      <c r="B26" s="100" t="s">
        <v>117</v>
      </c>
      <c r="C26" s="57" t="s">
        <v>106</v>
      </c>
      <c r="D26" s="58">
        <f>$B27*75</f>
        <v>1875</v>
      </c>
      <c r="E26" s="58">
        <f>$B29*5600</f>
        <v>22400</v>
      </c>
      <c r="F26" s="59">
        <f t="shared" si="4"/>
        <v>0</v>
      </c>
      <c r="G26" s="88"/>
      <c r="H26" s="92"/>
      <c r="I26" s="100" t="s">
        <v>117</v>
      </c>
      <c r="J26" s="57" t="s">
        <v>106</v>
      </c>
      <c r="K26" s="58">
        <f>$I27*75</f>
        <v>1875</v>
      </c>
      <c r="L26" s="58">
        <v>6000</v>
      </c>
      <c r="M26" s="59">
        <f t="shared" si="10"/>
        <v>7875</v>
      </c>
      <c r="N26" s="88" t="s">
        <v>118</v>
      </c>
      <c r="P26" s="20">
        <f t="shared" si="5"/>
        <v>375</v>
      </c>
      <c r="Q26" s="20">
        <f t="shared" si="1"/>
        <v>4480</v>
      </c>
      <c r="R26" s="20">
        <f t="shared" si="6"/>
        <v>4855</v>
      </c>
      <c r="U26" s="20">
        <f t="shared" si="2"/>
        <v>375</v>
      </c>
      <c r="V26" s="20">
        <f t="shared" si="3"/>
        <v>1200</v>
      </c>
      <c r="W26" s="20">
        <f t="shared" si="7"/>
        <v>1575</v>
      </c>
    </row>
    <row r="27" spans="1:23">
      <c r="A27" s="38"/>
      <c r="B27" s="100">
        <v>25</v>
      </c>
      <c r="C27" s="57" t="s">
        <v>9</v>
      </c>
      <c r="D27" s="58">
        <f>$B27*12</f>
        <v>300</v>
      </c>
      <c r="E27" s="58">
        <f>$B29*1950</f>
        <v>7800</v>
      </c>
      <c r="F27" s="59">
        <f t="shared" si="4"/>
        <v>0</v>
      </c>
      <c r="G27" s="88"/>
      <c r="H27" s="92"/>
      <c r="I27" s="100">
        <v>25</v>
      </c>
      <c r="J27" s="57" t="s">
        <v>9</v>
      </c>
      <c r="K27" s="58">
        <f>$I27*12</f>
        <v>300</v>
      </c>
      <c r="L27" s="58">
        <v>3000</v>
      </c>
      <c r="M27" s="59">
        <f t="shared" si="10"/>
        <v>3300</v>
      </c>
      <c r="N27" s="88" t="s">
        <v>118</v>
      </c>
      <c r="P27" s="20">
        <f t="shared" si="5"/>
        <v>60</v>
      </c>
      <c r="Q27" s="20">
        <f t="shared" si="1"/>
        <v>1560</v>
      </c>
      <c r="R27" s="20">
        <f t="shared" si="6"/>
        <v>1620</v>
      </c>
      <c r="U27" s="20">
        <f t="shared" si="2"/>
        <v>60</v>
      </c>
      <c r="V27" s="20">
        <f t="shared" si="3"/>
        <v>600</v>
      </c>
      <c r="W27" s="20">
        <f t="shared" si="7"/>
        <v>660</v>
      </c>
    </row>
    <row r="28" spans="1:23">
      <c r="A28" s="38"/>
      <c r="B28" s="100" t="s">
        <v>119</v>
      </c>
      <c r="C28" s="57" t="s">
        <v>107</v>
      </c>
      <c r="D28" s="58">
        <f>$B27*22</f>
        <v>550</v>
      </c>
      <c r="E28" s="58">
        <f>$B29*3180</f>
        <v>12720</v>
      </c>
      <c r="F28" s="59">
        <f t="shared" si="4"/>
        <v>0</v>
      </c>
      <c r="G28" s="88"/>
      <c r="H28" s="92"/>
      <c r="I28" s="100" t="s">
        <v>119</v>
      </c>
      <c r="J28" s="57" t="s">
        <v>107</v>
      </c>
      <c r="K28" s="58">
        <f>$I27*22</f>
        <v>550</v>
      </c>
      <c r="L28" s="58">
        <v>3000</v>
      </c>
      <c r="M28" s="59">
        <f t="shared" si="10"/>
        <v>0</v>
      </c>
      <c r="N28" s="88"/>
      <c r="P28" s="20">
        <f t="shared" si="5"/>
        <v>110</v>
      </c>
      <c r="Q28" s="20">
        <f t="shared" si="1"/>
        <v>2544</v>
      </c>
      <c r="R28" s="20">
        <f t="shared" si="6"/>
        <v>2654</v>
      </c>
      <c r="U28" s="20">
        <f t="shared" si="2"/>
        <v>110</v>
      </c>
      <c r="V28" s="20">
        <f t="shared" si="3"/>
        <v>600</v>
      </c>
      <c r="W28" s="20">
        <f t="shared" si="7"/>
        <v>710</v>
      </c>
    </row>
    <row r="29" spans="1:23">
      <c r="A29" s="38"/>
      <c r="B29" s="100">
        <v>4</v>
      </c>
      <c r="C29" s="57" t="s">
        <v>108</v>
      </c>
      <c r="D29" s="58">
        <f>$B27*20</f>
        <v>500</v>
      </c>
      <c r="E29" s="58">
        <f>$B29*1250</f>
        <v>5000</v>
      </c>
      <c r="F29" s="59">
        <f t="shared" si="4"/>
        <v>0</v>
      </c>
      <c r="G29" s="88"/>
      <c r="H29" s="92"/>
      <c r="I29" s="100">
        <v>4</v>
      </c>
      <c r="J29" s="57" t="s">
        <v>108</v>
      </c>
      <c r="K29" s="58">
        <f>$I27*20</f>
        <v>500</v>
      </c>
      <c r="L29" s="58">
        <v>3000</v>
      </c>
      <c r="M29" s="59">
        <f t="shared" si="10"/>
        <v>0</v>
      </c>
      <c r="N29" s="88"/>
      <c r="P29" s="20">
        <f t="shared" si="5"/>
        <v>100</v>
      </c>
      <c r="Q29" s="20">
        <f t="shared" si="1"/>
        <v>1000</v>
      </c>
      <c r="R29" s="20">
        <f t="shared" si="6"/>
        <v>1100</v>
      </c>
      <c r="U29" s="20">
        <f t="shared" si="2"/>
        <v>100</v>
      </c>
      <c r="V29" s="20">
        <f t="shared" si="3"/>
        <v>600</v>
      </c>
      <c r="W29" s="20">
        <f t="shared" si="7"/>
        <v>700</v>
      </c>
    </row>
    <row r="30" spans="1:23">
      <c r="A30" s="38"/>
      <c r="B30" s="100"/>
      <c r="C30" s="57" t="s">
        <v>111</v>
      </c>
      <c r="D30" s="58">
        <v>0</v>
      </c>
      <c r="E30" s="58">
        <v>3750</v>
      </c>
      <c r="F30" s="59">
        <f t="shared" si="4"/>
        <v>0</v>
      </c>
      <c r="G30" s="88"/>
      <c r="H30" s="92"/>
      <c r="I30" s="100"/>
      <c r="J30" s="57" t="s">
        <v>111</v>
      </c>
      <c r="K30" s="58">
        <v>0</v>
      </c>
      <c r="L30" s="58">
        <v>3750</v>
      </c>
      <c r="M30" s="59">
        <f t="shared" si="10"/>
        <v>0</v>
      </c>
      <c r="N30" s="88"/>
      <c r="P30" s="20">
        <f t="shared" si="5"/>
        <v>0</v>
      </c>
      <c r="Q30" s="20">
        <f t="shared" si="1"/>
        <v>750</v>
      </c>
      <c r="R30" s="20">
        <f t="shared" si="6"/>
        <v>750</v>
      </c>
      <c r="U30" s="20">
        <f t="shared" si="2"/>
        <v>0</v>
      </c>
      <c r="V30" s="20">
        <f t="shared" si="3"/>
        <v>750</v>
      </c>
      <c r="W30" s="20">
        <f t="shared" si="7"/>
        <v>750</v>
      </c>
    </row>
    <row r="31" spans="1:23">
      <c r="A31" s="38"/>
      <c r="B31" s="100"/>
      <c r="C31" s="60" t="s">
        <v>64</v>
      </c>
      <c r="D31" s="61">
        <f>SUM(D25:D30)</f>
        <v>5100</v>
      </c>
      <c r="E31" s="61">
        <f>SUM(E25:E30)</f>
        <v>73670</v>
      </c>
      <c r="F31" s="62">
        <f>SUM(F25:F30)*1.2</f>
        <v>0</v>
      </c>
      <c r="G31" s="88"/>
      <c r="H31" s="92"/>
      <c r="I31" s="100"/>
      <c r="J31" s="60" t="s">
        <v>64</v>
      </c>
      <c r="K31" s="61">
        <f>SUM(K25:K30)</f>
        <v>5100</v>
      </c>
      <c r="L31" s="61">
        <f>SUM(L25:L30)</f>
        <v>26250</v>
      </c>
      <c r="M31" s="62">
        <f>SUM(M25:M30)*1.2</f>
        <v>24660</v>
      </c>
      <c r="N31" s="88"/>
      <c r="P31" s="90">
        <f t="shared" si="5"/>
        <v>1020</v>
      </c>
      <c r="Q31" s="90">
        <f t="shared" si="1"/>
        <v>14734</v>
      </c>
      <c r="R31" s="90">
        <f t="shared" si="6"/>
        <v>15754</v>
      </c>
      <c r="U31" s="90">
        <f t="shared" si="2"/>
        <v>1020</v>
      </c>
      <c r="V31" s="90">
        <f t="shared" si="3"/>
        <v>5250</v>
      </c>
      <c r="W31" s="90">
        <f t="shared" si="7"/>
        <v>6270</v>
      </c>
    </row>
    <row r="32" spans="1:23">
      <c r="A32" s="38"/>
      <c r="B32" s="101" t="s">
        <v>113</v>
      </c>
      <c r="C32" s="63" t="s">
        <v>105</v>
      </c>
      <c r="D32" s="64">
        <f>$B34*75</f>
        <v>3750</v>
      </c>
      <c r="E32" s="64">
        <f>$B36*5500</f>
        <v>22000</v>
      </c>
      <c r="F32" s="65">
        <f t="shared" si="4"/>
        <v>25750</v>
      </c>
      <c r="G32" s="88" t="s">
        <v>118</v>
      </c>
      <c r="H32" s="92"/>
      <c r="I32" s="101" t="s">
        <v>113</v>
      </c>
      <c r="J32" s="63" t="s">
        <v>105</v>
      </c>
      <c r="K32" s="64">
        <f>$I34*75</f>
        <v>3750</v>
      </c>
      <c r="L32" s="64">
        <v>7500</v>
      </c>
      <c r="M32" s="65">
        <f t="shared" ref="M32:M37" si="11">IF(N32="X",L32+K32,0)</f>
        <v>0</v>
      </c>
      <c r="N32" s="88"/>
      <c r="P32" s="20">
        <f t="shared" si="5"/>
        <v>750</v>
      </c>
      <c r="Q32" s="20">
        <f t="shared" si="1"/>
        <v>4400</v>
      </c>
      <c r="R32" s="20">
        <f t="shared" si="6"/>
        <v>5150</v>
      </c>
      <c r="U32" s="20">
        <f t="shared" si="2"/>
        <v>750</v>
      </c>
      <c r="V32" s="20">
        <f t="shared" si="3"/>
        <v>1500</v>
      </c>
      <c r="W32" s="20">
        <f t="shared" si="7"/>
        <v>2250</v>
      </c>
    </row>
    <row r="33" spans="1:23">
      <c r="A33" s="38"/>
      <c r="B33" s="102" t="s">
        <v>117</v>
      </c>
      <c r="C33" s="63" t="s">
        <v>106</v>
      </c>
      <c r="D33" s="64">
        <f>$B34*75</f>
        <v>3750</v>
      </c>
      <c r="E33" s="64">
        <f>$B36*5600</f>
        <v>22400</v>
      </c>
      <c r="F33" s="65">
        <f t="shared" si="4"/>
        <v>26150</v>
      </c>
      <c r="G33" s="88" t="s">
        <v>118</v>
      </c>
      <c r="H33" s="92"/>
      <c r="I33" s="102" t="s">
        <v>117</v>
      </c>
      <c r="J33" s="63" t="s">
        <v>106</v>
      </c>
      <c r="K33" s="64">
        <f>$I34*75</f>
        <v>3750</v>
      </c>
      <c r="L33" s="64">
        <v>6000</v>
      </c>
      <c r="M33" s="65">
        <f t="shared" si="11"/>
        <v>0</v>
      </c>
      <c r="N33" s="88"/>
      <c r="P33" s="20">
        <f t="shared" si="5"/>
        <v>750</v>
      </c>
      <c r="Q33" s="20">
        <f t="shared" si="1"/>
        <v>4480</v>
      </c>
      <c r="R33" s="20">
        <f t="shared" si="6"/>
        <v>5230</v>
      </c>
      <c r="U33" s="20">
        <f t="shared" si="2"/>
        <v>750</v>
      </c>
      <c r="V33" s="20">
        <f t="shared" si="3"/>
        <v>1200</v>
      </c>
      <c r="W33" s="20">
        <f t="shared" si="7"/>
        <v>1950</v>
      </c>
    </row>
    <row r="34" spans="1:23">
      <c r="A34" s="38"/>
      <c r="B34" s="102">
        <v>50</v>
      </c>
      <c r="C34" s="63" t="s">
        <v>9</v>
      </c>
      <c r="D34" s="64">
        <f>$B34*12</f>
        <v>600</v>
      </c>
      <c r="E34" s="64">
        <f>$B36*1950</f>
        <v>7800</v>
      </c>
      <c r="F34" s="65">
        <f t="shared" si="4"/>
        <v>8400</v>
      </c>
      <c r="G34" s="88" t="s">
        <v>118</v>
      </c>
      <c r="H34" s="92"/>
      <c r="I34" s="102">
        <v>50</v>
      </c>
      <c r="J34" s="63" t="s">
        <v>9</v>
      </c>
      <c r="K34" s="64">
        <f>$I34*12</f>
        <v>600</v>
      </c>
      <c r="L34" s="64">
        <v>3000</v>
      </c>
      <c r="M34" s="65">
        <f t="shared" si="11"/>
        <v>0</v>
      </c>
      <c r="N34" s="88"/>
      <c r="P34" s="20">
        <f t="shared" si="5"/>
        <v>120</v>
      </c>
      <c r="Q34" s="20">
        <f t="shared" si="1"/>
        <v>1560</v>
      </c>
      <c r="R34" s="20">
        <f t="shared" si="6"/>
        <v>1680</v>
      </c>
      <c r="U34" s="20">
        <f t="shared" si="2"/>
        <v>120</v>
      </c>
      <c r="V34" s="20">
        <f t="shared" si="3"/>
        <v>600</v>
      </c>
      <c r="W34" s="20">
        <f t="shared" si="7"/>
        <v>720</v>
      </c>
    </row>
    <row r="35" spans="1:23">
      <c r="A35" s="38"/>
      <c r="B35" s="102" t="s">
        <v>119</v>
      </c>
      <c r="C35" s="63" t="s">
        <v>108</v>
      </c>
      <c r="D35" s="64">
        <f>$B34*22</f>
        <v>1100</v>
      </c>
      <c r="E35" s="64">
        <f>$B36*3180</f>
        <v>12720</v>
      </c>
      <c r="F35" s="65">
        <f t="shared" si="4"/>
        <v>0</v>
      </c>
      <c r="G35" s="88"/>
      <c r="H35" s="92"/>
      <c r="I35" s="102" t="s">
        <v>119</v>
      </c>
      <c r="J35" s="63" t="s">
        <v>108</v>
      </c>
      <c r="K35" s="64">
        <f>$I34*22</f>
        <v>1100</v>
      </c>
      <c r="L35" s="64">
        <v>3000</v>
      </c>
      <c r="M35" s="65">
        <f t="shared" si="11"/>
        <v>0</v>
      </c>
      <c r="N35" s="88"/>
      <c r="P35" s="20">
        <f t="shared" si="5"/>
        <v>220</v>
      </c>
      <c r="Q35" s="20">
        <f t="shared" si="1"/>
        <v>2544</v>
      </c>
      <c r="R35" s="20">
        <f t="shared" si="6"/>
        <v>2764</v>
      </c>
      <c r="U35" s="20">
        <f t="shared" si="2"/>
        <v>220</v>
      </c>
      <c r="V35" s="20">
        <f t="shared" si="3"/>
        <v>600</v>
      </c>
      <c r="W35" s="20">
        <f t="shared" si="7"/>
        <v>820</v>
      </c>
    </row>
    <row r="36" spans="1:23">
      <c r="A36" s="38"/>
      <c r="B36" s="102">
        <v>4</v>
      </c>
      <c r="C36" s="63" t="s">
        <v>107</v>
      </c>
      <c r="D36" s="64">
        <f>$B34*20</f>
        <v>1000</v>
      </c>
      <c r="E36" s="64">
        <f>$B36*1250</f>
        <v>5000</v>
      </c>
      <c r="F36" s="65">
        <f t="shared" si="4"/>
        <v>6000</v>
      </c>
      <c r="G36" s="88" t="s">
        <v>118</v>
      </c>
      <c r="H36" s="92"/>
      <c r="I36" s="102">
        <v>4</v>
      </c>
      <c r="J36" s="63" t="s">
        <v>107</v>
      </c>
      <c r="K36" s="64">
        <f>$I34*20</f>
        <v>1000</v>
      </c>
      <c r="L36" s="64">
        <v>3000</v>
      </c>
      <c r="M36" s="65">
        <f t="shared" si="11"/>
        <v>0</v>
      </c>
      <c r="N36" s="88"/>
      <c r="P36" s="20">
        <f t="shared" si="5"/>
        <v>200</v>
      </c>
      <c r="Q36" s="20">
        <f t="shared" si="1"/>
        <v>1000</v>
      </c>
      <c r="R36" s="20">
        <f t="shared" si="6"/>
        <v>1200</v>
      </c>
      <c r="U36" s="20">
        <f t="shared" ref="U36:U59" si="12">K36*0.2</f>
        <v>200</v>
      </c>
      <c r="V36" s="20">
        <f t="shared" ref="V36:V59" si="13">L36*0.2</f>
        <v>600</v>
      </c>
      <c r="W36" s="20">
        <f t="shared" si="7"/>
        <v>800</v>
      </c>
    </row>
    <row r="37" spans="1:23">
      <c r="A37" s="38"/>
      <c r="B37" s="102"/>
      <c r="C37" s="63" t="s">
        <v>111</v>
      </c>
      <c r="D37" s="64">
        <v>0</v>
      </c>
      <c r="E37" s="64">
        <v>3750</v>
      </c>
      <c r="F37" s="65">
        <f t="shared" si="4"/>
        <v>0</v>
      </c>
      <c r="G37" s="88"/>
      <c r="H37" s="92"/>
      <c r="I37" s="102"/>
      <c r="J37" s="63" t="s">
        <v>111</v>
      </c>
      <c r="K37" s="64">
        <v>0</v>
      </c>
      <c r="L37" s="64">
        <v>3750</v>
      </c>
      <c r="M37" s="65">
        <f t="shared" si="11"/>
        <v>0</v>
      </c>
      <c r="N37" s="88"/>
      <c r="P37" s="20">
        <f t="shared" si="5"/>
        <v>0</v>
      </c>
      <c r="Q37" s="20">
        <f t="shared" si="1"/>
        <v>750</v>
      </c>
      <c r="R37" s="20">
        <f t="shared" si="6"/>
        <v>750</v>
      </c>
      <c r="U37" s="20">
        <f t="shared" si="12"/>
        <v>0</v>
      </c>
      <c r="V37" s="20">
        <f t="shared" si="13"/>
        <v>750</v>
      </c>
      <c r="W37" s="20">
        <f t="shared" si="7"/>
        <v>750</v>
      </c>
    </row>
    <row r="38" spans="1:23">
      <c r="A38" s="38"/>
      <c r="B38" s="102"/>
      <c r="C38" s="66" t="s">
        <v>64</v>
      </c>
      <c r="D38" s="67">
        <f>SUM(D32:D37)</f>
        <v>10200</v>
      </c>
      <c r="E38" s="67">
        <f>SUM(E32:E37)</f>
        <v>73670</v>
      </c>
      <c r="F38" s="68">
        <f>SUM(F32:F37)*1.2</f>
        <v>79560</v>
      </c>
      <c r="G38" s="88"/>
      <c r="H38" s="92"/>
      <c r="I38" s="102"/>
      <c r="J38" s="66" t="s">
        <v>64</v>
      </c>
      <c r="K38" s="67">
        <f>SUM(K32:K37)</f>
        <v>10200</v>
      </c>
      <c r="L38" s="67">
        <f>SUM(L32:L37)</f>
        <v>26250</v>
      </c>
      <c r="M38" s="68">
        <f>SUM(M32:M37)*1.2</f>
        <v>0</v>
      </c>
      <c r="N38" s="88"/>
      <c r="P38" s="90">
        <f t="shared" si="5"/>
        <v>2040</v>
      </c>
      <c r="Q38" s="90">
        <f t="shared" si="1"/>
        <v>14734</v>
      </c>
      <c r="R38" s="90">
        <f t="shared" si="6"/>
        <v>16774</v>
      </c>
      <c r="U38" s="90">
        <f t="shared" si="12"/>
        <v>2040</v>
      </c>
      <c r="V38" s="90">
        <f t="shared" si="13"/>
        <v>5250</v>
      </c>
      <c r="W38" s="90">
        <f t="shared" si="7"/>
        <v>7290</v>
      </c>
    </row>
    <row r="39" spans="1:23">
      <c r="A39" s="38"/>
      <c r="B39" s="103" t="s">
        <v>114</v>
      </c>
      <c r="C39" s="69" t="s">
        <v>105</v>
      </c>
      <c r="D39" s="70">
        <f>$B41*75</f>
        <v>3000</v>
      </c>
      <c r="E39" s="70">
        <f>$B43*5500</f>
        <v>22000</v>
      </c>
      <c r="F39" s="71">
        <f t="shared" si="4"/>
        <v>25000</v>
      </c>
      <c r="G39" s="88" t="s">
        <v>118</v>
      </c>
      <c r="H39" s="92"/>
      <c r="I39" s="103" t="s">
        <v>114</v>
      </c>
      <c r="J39" s="69" t="s">
        <v>105</v>
      </c>
      <c r="K39" s="70">
        <f>$I41*75</f>
        <v>3000</v>
      </c>
      <c r="L39" s="70">
        <v>7500</v>
      </c>
      <c r="M39" s="71">
        <f t="shared" ref="M39:M44" si="14">IF(N39="X",L39+K39,0)</f>
        <v>0</v>
      </c>
      <c r="N39" s="88"/>
      <c r="P39" s="20">
        <f t="shared" si="5"/>
        <v>600</v>
      </c>
      <c r="Q39" s="20">
        <f t="shared" si="1"/>
        <v>4400</v>
      </c>
      <c r="R39" s="20">
        <f t="shared" si="6"/>
        <v>5000</v>
      </c>
      <c r="U39" s="20">
        <f t="shared" si="12"/>
        <v>600</v>
      </c>
      <c r="V39" s="20">
        <f t="shared" si="13"/>
        <v>1500</v>
      </c>
      <c r="W39" s="20">
        <f t="shared" si="7"/>
        <v>2100</v>
      </c>
    </row>
    <row r="40" spans="1:23">
      <c r="A40" s="38"/>
      <c r="B40" s="104" t="s">
        <v>117</v>
      </c>
      <c r="C40" s="69" t="s">
        <v>106</v>
      </c>
      <c r="D40" s="70">
        <f>$B41*75</f>
        <v>3000</v>
      </c>
      <c r="E40" s="70">
        <f>$B43*5600</f>
        <v>22400</v>
      </c>
      <c r="F40" s="71">
        <f t="shared" si="4"/>
        <v>25400</v>
      </c>
      <c r="G40" s="88" t="s">
        <v>118</v>
      </c>
      <c r="H40" s="92"/>
      <c r="I40" s="104" t="s">
        <v>117</v>
      </c>
      <c r="J40" s="69" t="s">
        <v>106</v>
      </c>
      <c r="K40" s="70">
        <f>$I41*75</f>
        <v>3000</v>
      </c>
      <c r="L40" s="70">
        <v>6000</v>
      </c>
      <c r="M40" s="71">
        <f t="shared" si="14"/>
        <v>0</v>
      </c>
      <c r="N40" s="88"/>
      <c r="P40" s="20">
        <f t="shared" si="5"/>
        <v>600</v>
      </c>
      <c r="Q40" s="20">
        <f t="shared" si="1"/>
        <v>4480</v>
      </c>
      <c r="R40" s="20">
        <f t="shared" si="6"/>
        <v>5080</v>
      </c>
      <c r="U40" s="20">
        <f t="shared" si="12"/>
        <v>600</v>
      </c>
      <c r="V40" s="20">
        <f t="shared" si="13"/>
        <v>1200</v>
      </c>
      <c r="W40" s="20">
        <f t="shared" si="7"/>
        <v>1800</v>
      </c>
    </row>
    <row r="41" spans="1:23">
      <c r="A41" s="38"/>
      <c r="B41" s="104">
        <v>40</v>
      </c>
      <c r="C41" s="69" t="s">
        <v>9</v>
      </c>
      <c r="D41" s="70">
        <f>$B41*12</f>
        <v>480</v>
      </c>
      <c r="E41" s="70">
        <f>$B43*1950</f>
        <v>7800</v>
      </c>
      <c r="F41" s="71">
        <f t="shared" si="4"/>
        <v>8280</v>
      </c>
      <c r="G41" s="88" t="s">
        <v>118</v>
      </c>
      <c r="H41" s="92"/>
      <c r="I41" s="104">
        <v>40</v>
      </c>
      <c r="J41" s="69" t="s">
        <v>9</v>
      </c>
      <c r="K41" s="70">
        <f>$I41*12</f>
        <v>480</v>
      </c>
      <c r="L41" s="70">
        <v>3000</v>
      </c>
      <c r="M41" s="71">
        <f t="shared" si="14"/>
        <v>0</v>
      </c>
      <c r="N41" s="88"/>
      <c r="P41" s="20">
        <f t="shared" si="5"/>
        <v>96</v>
      </c>
      <c r="Q41" s="20">
        <f t="shared" si="1"/>
        <v>1560</v>
      </c>
      <c r="R41" s="20">
        <f t="shared" si="6"/>
        <v>1656</v>
      </c>
      <c r="U41" s="20">
        <f t="shared" si="12"/>
        <v>96</v>
      </c>
      <c r="V41" s="20">
        <f t="shared" si="13"/>
        <v>600</v>
      </c>
      <c r="W41" s="20">
        <f t="shared" si="7"/>
        <v>696</v>
      </c>
    </row>
    <row r="42" spans="1:23">
      <c r="A42" s="38"/>
      <c r="B42" s="104" t="s">
        <v>119</v>
      </c>
      <c r="C42" s="69" t="s">
        <v>107</v>
      </c>
      <c r="D42" s="70">
        <f>$B41*22</f>
        <v>880</v>
      </c>
      <c r="E42" s="70">
        <f>$B43*3180</f>
        <v>12720</v>
      </c>
      <c r="F42" s="71">
        <f t="shared" si="4"/>
        <v>13600</v>
      </c>
      <c r="G42" s="88" t="s">
        <v>118</v>
      </c>
      <c r="H42" s="92"/>
      <c r="I42" s="104" t="s">
        <v>119</v>
      </c>
      <c r="J42" s="69" t="s">
        <v>107</v>
      </c>
      <c r="K42" s="70">
        <f>$I41*22</f>
        <v>880</v>
      </c>
      <c r="L42" s="70">
        <v>3000</v>
      </c>
      <c r="M42" s="71">
        <f t="shared" si="14"/>
        <v>0</v>
      </c>
      <c r="N42" s="88"/>
      <c r="P42" s="20">
        <f t="shared" si="5"/>
        <v>176</v>
      </c>
      <c r="Q42" s="20">
        <f t="shared" si="1"/>
        <v>2544</v>
      </c>
      <c r="R42" s="20">
        <f t="shared" si="6"/>
        <v>2720</v>
      </c>
      <c r="U42" s="20">
        <f t="shared" si="12"/>
        <v>176</v>
      </c>
      <c r="V42" s="20">
        <f t="shared" si="13"/>
        <v>600</v>
      </c>
      <c r="W42" s="20">
        <f t="shared" si="7"/>
        <v>776</v>
      </c>
    </row>
    <row r="43" spans="1:23">
      <c r="A43" s="38"/>
      <c r="B43" s="104">
        <v>4</v>
      </c>
      <c r="C43" s="69" t="s">
        <v>108</v>
      </c>
      <c r="D43" s="70">
        <f>$B41*20</f>
        <v>800</v>
      </c>
      <c r="E43" s="70">
        <f>$B43*1250</f>
        <v>5000</v>
      </c>
      <c r="F43" s="71">
        <f t="shared" si="4"/>
        <v>0</v>
      </c>
      <c r="G43" s="88"/>
      <c r="H43" s="92"/>
      <c r="I43" s="104">
        <v>4</v>
      </c>
      <c r="J43" s="69" t="s">
        <v>108</v>
      </c>
      <c r="K43" s="70">
        <f>$I41*20</f>
        <v>800</v>
      </c>
      <c r="L43" s="70">
        <v>3000</v>
      </c>
      <c r="M43" s="71">
        <f t="shared" si="14"/>
        <v>0</v>
      </c>
      <c r="N43" s="88"/>
      <c r="P43" s="20">
        <f t="shared" si="5"/>
        <v>160</v>
      </c>
      <c r="Q43" s="20">
        <f t="shared" si="1"/>
        <v>1000</v>
      </c>
      <c r="R43" s="20">
        <f t="shared" si="6"/>
        <v>1160</v>
      </c>
      <c r="U43" s="20">
        <f t="shared" si="12"/>
        <v>160</v>
      </c>
      <c r="V43" s="20">
        <f t="shared" si="13"/>
        <v>600</v>
      </c>
      <c r="W43" s="20">
        <f t="shared" si="7"/>
        <v>760</v>
      </c>
    </row>
    <row r="44" spans="1:23">
      <c r="A44" s="38"/>
      <c r="B44" s="104"/>
      <c r="C44" s="69" t="s">
        <v>111</v>
      </c>
      <c r="D44" s="70">
        <v>0</v>
      </c>
      <c r="E44" s="70">
        <v>3750</v>
      </c>
      <c r="F44" s="71">
        <f t="shared" si="4"/>
        <v>3750</v>
      </c>
      <c r="G44" s="88" t="s">
        <v>118</v>
      </c>
      <c r="H44" s="92"/>
      <c r="I44" s="104"/>
      <c r="J44" s="69" t="s">
        <v>111</v>
      </c>
      <c r="K44" s="70">
        <v>0</v>
      </c>
      <c r="L44" s="70">
        <v>3750</v>
      </c>
      <c r="M44" s="71">
        <f t="shared" si="14"/>
        <v>0</v>
      </c>
      <c r="N44" s="88"/>
      <c r="P44" s="20">
        <f t="shared" si="5"/>
        <v>0</v>
      </c>
      <c r="Q44" s="20">
        <f t="shared" si="1"/>
        <v>750</v>
      </c>
      <c r="R44" s="20">
        <f t="shared" si="6"/>
        <v>750</v>
      </c>
      <c r="U44" s="20">
        <f t="shared" si="12"/>
        <v>0</v>
      </c>
      <c r="V44" s="20">
        <f t="shared" si="13"/>
        <v>750</v>
      </c>
      <c r="W44" s="20">
        <f t="shared" si="7"/>
        <v>750</v>
      </c>
    </row>
    <row r="45" spans="1:23">
      <c r="A45" s="38"/>
      <c r="B45" s="104"/>
      <c r="C45" s="72" t="s">
        <v>64</v>
      </c>
      <c r="D45" s="73">
        <f>SUM(D39:D44)</f>
        <v>8160</v>
      </c>
      <c r="E45" s="73">
        <f>SUM(E39:E44)</f>
        <v>73670</v>
      </c>
      <c r="F45" s="74">
        <f>SUM(F39:F44)*1.2</f>
        <v>91236</v>
      </c>
      <c r="G45" s="88"/>
      <c r="H45" s="92"/>
      <c r="I45" s="104"/>
      <c r="J45" s="72" t="s">
        <v>64</v>
      </c>
      <c r="K45" s="73">
        <f>SUM(K39:K44)</f>
        <v>8160</v>
      </c>
      <c r="L45" s="73">
        <f>SUM(L39:L44)</f>
        <v>26250</v>
      </c>
      <c r="M45" s="74">
        <f>SUM(M39:M44)*1.2</f>
        <v>0</v>
      </c>
      <c r="N45" s="88"/>
      <c r="P45" s="90">
        <f t="shared" si="5"/>
        <v>1632</v>
      </c>
      <c r="Q45" s="90">
        <f t="shared" si="1"/>
        <v>14734</v>
      </c>
      <c r="R45" s="90">
        <f t="shared" si="6"/>
        <v>16366</v>
      </c>
      <c r="U45" s="90">
        <f t="shared" si="12"/>
        <v>1632</v>
      </c>
      <c r="V45" s="90">
        <f t="shared" si="13"/>
        <v>5250</v>
      </c>
      <c r="W45" s="90">
        <f t="shared" si="7"/>
        <v>6882</v>
      </c>
    </row>
    <row r="46" spans="1:23">
      <c r="A46" s="38"/>
      <c r="B46" s="105" t="s">
        <v>115</v>
      </c>
      <c r="C46" s="75" t="s">
        <v>105</v>
      </c>
      <c r="D46" s="76">
        <f>$B48*75</f>
        <v>8250</v>
      </c>
      <c r="E46" s="76">
        <f>$B50*5500</f>
        <v>22000</v>
      </c>
      <c r="F46" s="77">
        <f t="shared" si="4"/>
        <v>0</v>
      </c>
      <c r="G46" s="88"/>
      <c r="H46" s="92"/>
      <c r="I46" s="105" t="s">
        <v>115</v>
      </c>
      <c r="J46" s="75" t="s">
        <v>105</v>
      </c>
      <c r="K46" s="76">
        <f>$I48*75</f>
        <v>8250</v>
      </c>
      <c r="L46" s="76">
        <v>7500</v>
      </c>
      <c r="M46" s="77">
        <f t="shared" ref="M46:M51" si="15">IF(N46="X",L46+K46,0)</f>
        <v>15750</v>
      </c>
      <c r="N46" s="88" t="s">
        <v>118</v>
      </c>
      <c r="P46" s="20">
        <f t="shared" si="5"/>
        <v>1650</v>
      </c>
      <c r="Q46" s="20">
        <f t="shared" si="1"/>
        <v>4400</v>
      </c>
      <c r="R46" s="20">
        <f t="shared" si="6"/>
        <v>6050</v>
      </c>
      <c r="U46" s="20">
        <f t="shared" si="12"/>
        <v>1650</v>
      </c>
      <c r="V46" s="20">
        <f t="shared" si="13"/>
        <v>1500</v>
      </c>
      <c r="W46" s="20">
        <f t="shared" si="7"/>
        <v>3150</v>
      </c>
    </row>
    <row r="47" spans="1:23">
      <c r="A47" s="38"/>
      <c r="B47" s="106" t="s">
        <v>117</v>
      </c>
      <c r="C47" s="75" t="s">
        <v>106</v>
      </c>
      <c r="D47" s="76">
        <f>$B48*75</f>
        <v>8250</v>
      </c>
      <c r="E47" s="76">
        <f>$B50*5600</f>
        <v>22400</v>
      </c>
      <c r="F47" s="77">
        <f t="shared" si="4"/>
        <v>0</v>
      </c>
      <c r="G47" s="88"/>
      <c r="H47" s="92"/>
      <c r="I47" s="106" t="s">
        <v>117</v>
      </c>
      <c r="J47" s="75" t="s">
        <v>106</v>
      </c>
      <c r="K47" s="76">
        <f>$I48*75</f>
        <v>8250</v>
      </c>
      <c r="L47" s="76">
        <v>6000</v>
      </c>
      <c r="M47" s="77">
        <f t="shared" si="15"/>
        <v>14250</v>
      </c>
      <c r="N47" s="88" t="s">
        <v>118</v>
      </c>
      <c r="P47" s="20">
        <f t="shared" si="5"/>
        <v>1650</v>
      </c>
      <c r="Q47" s="20">
        <f t="shared" si="1"/>
        <v>4480</v>
      </c>
      <c r="R47" s="20">
        <f t="shared" si="6"/>
        <v>6130</v>
      </c>
      <c r="U47" s="20">
        <f t="shared" si="12"/>
        <v>1650</v>
      </c>
      <c r="V47" s="20">
        <f t="shared" si="13"/>
        <v>1200</v>
      </c>
      <c r="W47" s="20">
        <f t="shared" si="7"/>
        <v>2850</v>
      </c>
    </row>
    <row r="48" spans="1:23">
      <c r="A48" s="38"/>
      <c r="B48" s="106">
        <v>110</v>
      </c>
      <c r="C48" s="75" t="s">
        <v>9</v>
      </c>
      <c r="D48" s="76">
        <f>$B48*12</f>
        <v>1320</v>
      </c>
      <c r="E48" s="76">
        <f>$B50*1950</f>
        <v>7800</v>
      </c>
      <c r="F48" s="77">
        <f t="shared" si="4"/>
        <v>0</v>
      </c>
      <c r="G48" s="88"/>
      <c r="H48" s="92"/>
      <c r="I48" s="106">
        <v>110</v>
      </c>
      <c r="J48" s="75" t="s">
        <v>9</v>
      </c>
      <c r="K48" s="76">
        <f>$I48*12</f>
        <v>1320</v>
      </c>
      <c r="L48" s="76">
        <v>3000</v>
      </c>
      <c r="M48" s="77">
        <f t="shared" si="15"/>
        <v>0</v>
      </c>
      <c r="N48" s="88"/>
      <c r="P48" s="20">
        <f t="shared" si="5"/>
        <v>264</v>
      </c>
      <c r="Q48" s="20">
        <f t="shared" si="1"/>
        <v>1560</v>
      </c>
      <c r="R48" s="20">
        <f t="shared" si="6"/>
        <v>1824</v>
      </c>
      <c r="U48" s="20">
        <f t="shared" si="12"/>
        <v>264</v>
      </c>
      <c r="V48" s="20">
        <f t="shared" si="13"/>
        <v>600</v>
      </c>
      <c r="W48" s="20">
        <f t="shared" si="7"/>
        <v>864</v>
      </c>
    </row>
    <row r="49" spans="1:23">
      <c r="A49" s="38"/>
      <c r="B49" s="106" t="s">
        <v>119</v>
      </c>
      <c r="C49" s="75" t="s">
        <v>107</v>
      </c>
      <c r="D49" s="76">
        <f>$B48*22</f>
        <v>2420</v>
      </c>
      <c r="E49" s="76">
        <f>$B50*3180</f>
        <v>12720</v>
      </c>
      <c r="F49" s="77">
        <f t="shared" si="4"/>
        <v>0</v>
      </c>
      <c r="G49" s="88"/>
      <c r="H49" s="92"/>
      <c r="I49" s="106" t="s">
        <v>119</v>
      </c>
      <c r="J49" s="75" t="s">
        <v>107</v>
      </c>
      <c r="K49" s="76">
        <f>$I48*22</f>
        <v>2420</v>
      </c>
      <c r="L49" s="76">
        <v>3000</v>
      </c>
      <c r="M49" s="77">
        <f t="shared" si="15"/>
        <v>0</v>
      </c>
      <c r="N49" s="88"/>
      <c r="P49" s="20">
        <f t="shared" si="5"/>
        <v>484</v>
      </c>
      <c r="Q49" s="20">
        <f t="shared" si="1"/>
        <v>2544</v>
      </c>
      <c r="R49" s="20">
        <f t="shared" si="6"/>
        <v>3028</v>
      </c>
      <c r="U49" s="20">
        <f t="shared" si="12"/>
        <v>484</v>
      </c>
      <c r="V49" s="20">
        <f t="shared" si="13"/>
        <v>600</v>
      </c>
      <c r="W49" s="20">
        <f t="shared" si="7"/>
        <v>1084</v>
      </c>
    </row>
    <row r="50" spans="1:23">
      <c r="A50" s="38"/>
      <c r="B50" s="106">
        <v>4</v>
      </c>
      <c r="C50" s="75" t="s">
        <v>108</v>
      </c>
      <c r="D50" s="76">
        <f>$B48*20</f>
        <v>2200</v>
      </c>
      <c r="E50" s="76">
        <f>$B50*1250</f>
        <v>5000</v>
      </c>
      <c r="F50" s="77">
        <f t="shared" si="4"/>
        <v>0</v>
      </c>
      <c r="G50" s="88"/>
      <c r="H50" s="92"/>
      <c r="I50" s="106">
        <v>4</v>
      </c>
      <c r="J50" s="75" t="s">
        <v>108</v>
      </c>
      <c r="K50" s="76">
        <f>$I48*20</f>
        <v>2200</v>
      </c>
      <c r="L50" s="76">
        <v>3000</v>
      </c>
      <c r="M50" s="77">
        <f t="shared" si="15"/>
        <v>5200</v>
      </c>
      <c r="N50" s="88" t="s">
        <v>118</v>
      </c>
      <c r="P50" s="20">
        <f t="shared" si="5"/>
        <v>440</v>
      </c>
      <c r="Q50" s="20">
        <f t="shared" si="1"/>
        <v>1000</v>
      </c>
      <c r="R50" s="20">
        <f t="shared" si="6"/>
        <v>1440</v>
      </c>
      <c r="U50" s="20">
        <f t="shared" si="12"/>
        <v>440</v>
      </c>
      <c r="V50" s="20">
        <f t="shared" si="13"/>
        <v>600</v>
      </c>
      <c r="W50" s="20">
        <f t="shared" si="7"/>
        <v>1040</v>
      </c>
    </row>
    <row r="51" spans="1:23">
      <c r="A51" s="38"/>
      <c r="B51" s="106"/>
      <c r="C51" s="75" t="s">
        <v>111</v>
      </c>
      <c r="D51" s="76">
        <v>0</v>
      </c>
      <c r="E51" s="76">
        <v>3750</v>
      </c>
      <c r="F51" s="77">
        <f t="shared" si="4"/>
        <v>0</v>
      </c>
      <c r="G51" s="88"/>
      <c r="H51" s="92"/>
      <c r="I51" s="106"/>
      <c r="J51" s="75" t="s">
        <v>111</v>
      </c>
      <c r="K51" s="76">
        <v>0</v>
      </c>
      <c r="L51" s="76">
        <v>3750</v>
      </c>
      <c r="M51" s="77">
        <f t="shared" si="15"/>
        <v>0</v>
      </c>
      <c r="N51" s="88"/>
      <c r="P51" s="20">
        <f t="shared" si="5"/>
        <v>0</v>
      </c>
      <c r="Q51" s="20">
        <f t="shared" si="1"/>
        <v>750</v>
      </c>
      <c r="R51" s="20">
        <f t="shared" si="6"/>
        <v>750</v>
      </c>
      <c r="U51" s="20">
        <f t="shared" si="12"/>
        <v>0</v>
      </c>
      <c r="V51" s="20">
        <f t="shared" si="13"/>
        <v>750</v>
      </c>
      <c r="W51" s="20">
        <f t="shared" si="7"/>
        <v>750</v>
      </c>
    </row>
    <row r="52" spans="1:23">
      <c r="A52" s="38"/>
      <c r="B52" s="106"/>
      <c r="C52" s="78" t="s">
        <v>64</v>
      </c>
      <c r="D52" s="79">
        <f>SUM(D46:D51)</f>
        <v>22440</v>
      </c>
      <c r="E52" s="79">
        <f>SUM(E46:E51)</f>
        <v>73670</v>
      </c>
      <c r="F52" s="80">
        <f>SUM(F46:F51)*1.2</f>
        <v>0</v>
      </c>
      <c r="G52" s="88"/>
      <c r="H52" s="92"/>
      <c r="I52" s="106"/>
      <c r="J52" s="78" t="s">
        <v>64</v>
      </c>
      <c r="K52" s="79">
        <f>SUM(K46:K51)</f>
        <v>22440</v>
      </c>
      <c r="L52" s="79">
        <f>SUM(L46:L51)</f>
        <v>26250</v>
      </c>
      <c r="M52" s="80">
        <f>SUM(M46:M51)*1.2</f>
        <v>42240</v>
      </c>
      <c r="N52" s="88"/>
      <c r="P52" s="90">
        <f t="shared" si="5"/>
        <v>4488</v>
      </c>
      <c r="Q52" s="90">
        <f t="shared" si="1"/>
        <v>14734</v>
      </c>
      <c r="R52" s="90">
        <f t="shared" si="6"/>
        <v>19222</v>
      </c>
      <c r="U52" s="90">
        <f t="shared" si="12"/>
        <v>4488</v>
      </c>
      <c r="V52" s="90">
        <f t="shared" si="13"/>
        <v>5250</v>
      </c>
      <c r="W52" s="90">
        <f t="shared" si="7"/>
        <v>9738</v>
      </c>
    </row>
    <row r="53" spans="1:23">
      <c r="A53" s="38"/>
      <c r="B53" s="107" t="s">
        <v>116</v>
      </c>
      <c r="C53" s="81" t="s">
        <v>105</v>
      </c>
      <c r="D53" s="82">
        <f>$B55*75</f>
        <v>2250</v>
      </c>
      <c r="E53" s="82">
        <f>$B57*5500</f>
        <v>22000</v>
      </c>
      <c r="F53" s="83">
        <f t="shared" si="4"/>
        <v>0</v>
      </c>
      <c r="G53" s="88"/>
      <c r="H53" s="92"/>
      <c r="I53" s="107" t="s">
        <v>116</v>
      </c>
      <c r="J53" s="81" t="s">
        <v>105</v>
      </c>
      <c r="K53" s="82">
        <f>$I55*75</f>
        <v>2250</v>
      </c>
      <c r="L53" s="82">
        <v>7500</v>
      </c>
      <c r="M53" s="83">
        <f t="shared" ref="M53:M58" si="16">IF(N53="X",L53+K53,0)</f>
        <v>9750</v>
      </c>
      <c r="N53" s="88" t="s">
        <v>118</v>
      </c>
      <c r="P53" s="20">
        <f t="shared" si="5"/>
        <v>450</v>
      </c>
      <c r="Q53" s="20">
        <f t="shared" si="1"/>
        <v>4400</v>
      </c>
      <c r="R53" s="20">
        <f t="shared" si="6"/>
        <v>4850</v>
      </c>
      <c r="U53" s="20">
        <f t="shared" si="12"/>
        <v>450</v>
      </c>
      <c r="V53" s="20">
        <f t="shared" si="13"/>
        <v>1500</v>
      </c>
      <c r="W53" s="20">
        <f t="shared" si="7"/>
        <v>1950</v>
      </c>
    </row>
    <row r="54" spans="1:23">
      <c r="A54" s="38"/>
      <c r="B54" s="108" t="s">
        <v>117</v>
      </c>
      <c r="C54" s="81" t="s">
        <v>106</v>
      </c>
      <c r="D54" s="82">
        <f>$B55*75</f>
        <v>2250</v>
      </c>
      <c r="E54" s="82">
        <f>$B57*5600</f>
        <v>22400</v>
      </c>
      <c r="F54" s="83">
        <f t="shared" si="4"/>
        <v>0</v>
      </c>
      <c r="G54" s="88"/>
      <c r="H54" s="92"/>
      <c r="I54" s="108" t="s">
        <v>117</v>
      </c>
      <c r="J54" s="81" t="s">
        <v>106</v>
      </c>
      <c r="K54" s="82">
        <f>$I55*75</f>
        <v>2250</v>
      </c>
      <c r="L54" s="82">
        <v>6000</v>
      </c>
      <c r="M54" s="83">
        <f t="shared" si="16"/>
        <v>8250</v>
      </c>
      <c r="N54" s="88" t="s">
        <v>118</v>
      </c>
      <c r="P54" s="20">
        <f t="shared" si="5"/>
        <v>450</v>
      </c>
      <c r="Q54" s="20">
        <f t="shared" si="1"/>
        <v>4480</v>
      </c>
      <c r="R54" s="20">
        <f t="shared" si="6"/>
        <v>4930</v>
      </c>
      <c r="U54" s="20">
        <f t="shared" si="12"/>
        <v>450</v>
      </c>
      <c r="V54" s="20">
        <f t="shared" si="13"/>
        <v>1200</v>
      </c>
      <c r="W54" s="20">
        <f t="shared" si="7"/>
        <v>1650</v>
      </c>
    </row>
    <row r="55" spans="1:23">
      <c r="A55" s="38"/>
      <c r="B55" s="108">
        <v>30</v>
      </c>
      <c r="C55" s="81" t="s">
        <v>9</v>
      </c>
      <c r="D55" s="82">
        <f>$B55*12</f>
        <v>360</v>
      </c>
      <c r="E55" s="82">
        <f>$B57*1950</f>
        <v>7800</v>
      </c>
      <c r="F55" s="83">
        <f t="shared" si="4"/>
        <v>0</v>
      </c>
      <c r="G55" s="88"/>
      <c r="H55" s="92"/>
      <c r="I55" s="108">
        <v>30</v>
      </c>
      <c r="J55" s="81" t="s">
        <v>9</v>
      </c>
      <c r="K55" s="82">
        <f>$I55*12</f>
        <v>360</v>
      </c>
      <c r="L55" s="82">
        <v>3000</v>
      </c>
      <c r="M55" s="83">
        <f t="shared" si="16"/>
        <v>3360</v>
      </c>
      <c r="N55" s="88" t="s">
        <v>118</v>
      </c>
      <c r="P55" s="20">
        <f t="shared" si="5"/>
        <v>72</v>
      </c>
      <c r="Q55" s="20">
        <f t="shared" si="1"/>
        <v>1560</v>
      </c>
      <c r="R55" s="20">
        <f t="shared" si="6"/>
        <v>1632</v>
      </c>
      <c r="U55" s="20">
        <f t="shared" si="12"/>
        <v>72</v>
      </c>
      <c r="V55" s="20">
        <f t="shared" si="13"/>
        <v>600</v>
      </c>
      <c r="W55" s="20">
        <f t="shared" si="7"/>
        <v>672</v>
      </c>
    </row>
    <row r="56" spans="1:23">
      <c r="A56" s="38"/>
      <c r="B56" s="108" t="s">
        <v>119</v>
      </c>
      <c r="C56" s="81" t="s">
        <v>107</v>
      </c>
      <c r="D56" s="82">
        <f>$B55*22</f>
        <v>660</v>
      </c>
      <c r="E56" s="82">
        <f>$B57*3180</f>
        <v>12720</v>
      </c>
      <c r="F56" s="83">
        <f t="shared" si="4"/>
        <v>0</v>
      </c>
      <c r="G56" s="88"/>
      <c r="H56" s="92"/>
      <c r="I56" s="108" t="s">
        <v>119</v>
      </c>
      <c r="J56" s="81" t="s">
        <v>107</v>
      </c>
      <c r="K56" s="82">
        <f>$I55*22</f>
        <v>660</v>
      </c>
      <c r="L56" s="82">
        <v>3000</v>
      </c>
      <c r="M56" s="83">
        <f t="shared" si="16"/>
        <v>3660</v>
      </c>
      <c r="N56" s="88" t="s">
        <v>118</v>
      </c>
      <c r="P56" s="20">
        <f t="shared" si="5"/>
        <v>132</v>
      </c>
      <c r="Q56" s="20">
        <f t="shared" si="1"/>
        <v>2544</v>
      </c>
      <c r="R56" s="20">
        <f t="shared" si="6"/>
        <v>2676</v>
      </c>
      <c r="U56" s="20">
        <f t="shared" si="12"/>
        <v>132</v>
      </c>
      <c r="V56" s="20">
        <f t="shared" si="13"/>
        <v>600</v>
      </c>
      <c r="W56" s="20">
        <f t="shared" si="7"/>
        <v>732</v>
      </c>
    </row>
    <row r="57" spans="1:23">
      <c r="A57" s="38"/>
      <c r="B57" s="108">
        <v>4</v>
      </c>
      <c r="C57" s="81" t="s">
        <v>108</v>
      </c>
      <c r="D57" s="82">
        <f>$B55*20</f>
        <v>600</v>
      </c>
      <c r="E57" s="82">
        <f>$B57*1250</f>
        <v>5000</v>
      </c>
      <c r="F57" s="83">
        <f t="shared" si="4"/>
        <v>0</v>
      </c>
      <c r="G57" s="88"/>
      <c r="H57" s="92"/>
      <c r="I57" s="108">
        <v>4</v>
      </c>
      <c r="J57" s="81" t="s">
        <v>108</v>
      </c>
      <c r="K57" s="82">
        <f>$I55*20</f>
        <v>600</v>
      </c>
      <c r="L57" s="82">
        <v>3000</v>
      </c>
      <c r="M57" s="83">
        <f t="shared" si="16"/>
        <v>3600</v>
      </c>
      <c r="N57" s="88" t="s">
        <v>118</v>
      </c>
      <c r="P57" s="20">
        <f t="shared" si="5"/>
        <v>120</v>
      </c>
      <c r="Q57" s="20">
        <f t="shared" si="1"/>
        <v>1000</v>
      </c>
      <c r="R57" s="20">
        <f t="shared" si="6"/>
        <v>1120</v>
      </c>
      <c r="U57" s="20">
        <f t="shared" si="12"/>
        <v>120</v>
      </c>
      <c r="V57" s="20">
        <f t="shared" si="13"/>
        <v>600</v>
      </c>
      <c r="W57" s="20">
        <f t="shared" si="7"/>
        <v>720</v>
      </c>
    </row>
    <row r="58" spans="1:23">
      <c r="A58" s="38"/>
      <c r="B58" s="108"/>
      <c r="C58" s="81" t="s">
        <v>111</v>
      </c>
      <c r="D58" s="82">
        <v>0</v>
      </c>
      <c r="E58" s="82">
        <v>3750</v>
      </c>
      <c r="F58" s="83">
        <f t="shared" si="4"/>
        <v>0</v>
      </c>
      <c r="G58" s="88"/>
      <c r="H58" s="92"/>
      <c r="I58" s="108"/>
      <c r="J58" s="81" t="s">
        <v>111</v>
      </c>
      <c r="K58" s="82">
        <v>0</v>
      </c>
      <c r="L58" s="82">
        <v>3750</v>
      </c>
      <c r="M58" s="83">
        <f t="shared" si="16"/>
        <v>3750</v>
      </c>
      <c r="N58" s="88" t="s">
        <v>118</v>
      </c>
      <c r="P58" s="20">
        <f t="shared" si="5"/>
        <v>0</v>
      </c>
      <c r="Q58" s="20">
        <f t="shared" si="1"/>
        <v>750</v>
      </c>
      <c r="R58" s="20">
        <f t="shared" si="6"/>
        <v>750</v>
      </c>
      <c r="U58" s="20">
        <f t="shared" si="12"/>
        <v>0</v>
      </c>
      <c r="V58" s="20">
        <f t="shared" si="13"/>
        <v>750</v>
      </c>
      <c r="W58" s="20">
        <f t="shared" si="7"/>
        <v>750</v>
      </c>
    </row>
    <row r="59" spans="1:23">
      <c r="A59" s="38"/>
      <c r="B59" s="109"/>
      <c r="C59" s="84" t="s">
        <v>64</v>
      </c>
      <c r="D59" s="85">
        <f>SUM(D53:D58)</f>
        <v>6120</v>
      </c>
      <c r="E59" s="85">
        <f>SUM(E53:E58)</f>
        <v>73670</v>
      </c>
      <c r="F59" s="86">
        <f>SUM(F53:F58)*1.2</f>
        <v>0</v>
      </c>
      <c r="G59" s="88"/>
      <c r="H59" s="92"/>
      <c r="I59" s="109"/>
      <c r="J59" s="84" t="s">
        <v>64</v>
      </c>
      <c r="K59" s="85">
        <f>SUM(K53:K58)</f>
        <v>6120</v>
      </c>
      <c r="L59" s="85">
        <f>SUM(L53:L58)</f>
        <v>26250</v>
      </c>
      <c r="M59" s="86">
        <f>SUM(M53:M58)*1.2</f>
        <v>38844</v>
      </c>
      <c r="N59" s="88"/>
      <c r="P59" s="90">
        <f t="shared" si="5"/>
        <v>1224</v>
      </c>
      <c r="Q59" s="90">
        <f t="shared" si="1"/>
        <v>14734</v>
      </c>
      <c r="R59" s="90">
        <f t="shared" si="6"/>
        <v>15958</v>
      </c>
      <c r="U59" s="90">
        <f t="shared" si="12"/>
        <v>1224</v>
      </c>
      <c r="V59" s="90">
        <f t="shared" si="13"/>
        <v>5250</v>
      </c>
      <c r="W59" s="90">
        <f t="shared" si="7"/>
        <v>6474</v>
      </c>
    </row>
    <row r="62" spans="1:23">
      <c r="B62" s="31" t="s">
        <v>121</v>
      </c>
    </row>
    <row r="63" spans="1:23">
      <c r="B63" s="31" t="s">
        <v>122</v>
      </c>
    </row>
    <row r="64" spans="1:23">
      <c r="B64" s="31" t="s">
        <v>123</v>
      </c>
    </row>
    <row r="66" spans="2:7">
      <c r="B66" s="31" t="s">
        <v>124</v>
      </c>
      <c r="F66" s="20">
        <f>F10+M10+F17+M17+F24+M24+F31+M31+F38+M38+F45+M45+F52+M52+F59+M59</f>
        <v>455664</v>
      </c>
    </row>
    <row r="67" spans="2:7">
      <c r="E67" t="s">
        <v>125</v>
      </c>
      <c r="F67" s="20">
        <f>F66*0.1</f>
        <v>45566.400000000001</v>
      </c>
      <c r="G67" s="20">
        <f>F66-F67</f>
        <v>410097.6</v>
      </c>
    </row>
    <row r="68" spans="2:7">
      <c r="E68" t="s">
        <v>127</v>
      </c>
      <c r="F68" s="20">
        <f>F66*0.05</f>
        <v>22783.200000000001</v>
      </c>
      <c r="G68" s="20">
        <f>F66-F68</f>
        <v>432880.8</v>
      </c>
    </row>
    <row r="69" spans="2:7">
      <c r="E69" t="s">
        <v>128</v>
      </c>
      <c r="F69" s="20">
        <f>F66*0.03</f>
        <v>13669.92</v>
      </c>
      <c r="G69" s="20">
        <f>F66-F69</f>
        <v>441994.08</v>
      </c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tabSelected="1" workbookViewId="0">
      <selection activeCell="K57" sqref="K57"/>
    </sheetView>
  </sheetViews>
  <sheetFormatPr defaultRowHeight="15"/>
  <cols>
    <col min="1" max="1" width="11" customWidth="1"/>
    <col min="2" max="2" width="19.85546875" style="31" customWidth="1"/>
    <col min="4" max="4" width="12.5703125" customWidth="1"/>
    <col min="5" max="5" width="12.28515625" customWidth="1"/>
    <col min="6" max="6" width="10.85546875" customWidth="1"/>
    <col min="7" max="7" width="11" style="31" customWidth="1"/>
    <col min="8" max="8" width="10.28515625" style="31" customWidth="1"/>
    <col min="9" max="9" width="18" style="31" customWidth="1"/>
    <col min="10" max="10" width="10.7109375" customWidth="1"/>
    <col min="11" max="11" width="14.5703125" customWidth="1"/>
    <col min="12" max="12" width="11.42578125" customWidth="1"/>
    <col min="13" max="13" width="10.7109375" customWidth="1"/>
    <col min="14" max="14" width="9.42578125" style="31" customWidth="1"/>
    <col min="19" max="19" width="3.7109375" customWidth="1"/>
  </cols>
  <sheetData>
    <row r="1" spans="1:23" ht="23.25">
      <c r="A1" s="33" t="s">
        <v>129</v>
      </c>
      <c r="H1" s="91"/>
    </row>
    <row r="2" spans="1:23">
      <c r="H2" s="91"/>
    </row>
    <row r="3" spans="1:23">
      <c r="A3" s="34" t="s">
        <v>102</v>
      </c>
      <c r="B3" s="35" t="s">
        <v>100</v>
      </c>
      <c r="C3" s="36" t="s">
        <v>0</v>
      </c>
      <c r="D3" s="36" t="s">
        <v>117</v>
      </c>
      <c r="E3" s="36" t="s">
        <v>101</v>
      </c>
      <c r="F3" s="37" t="s">
        <v>63</v>
      </c>
      <c r="G3" s="87" t="s">
        <v>126</v>
      </c>
      <c r="H3" s="89" t="s">
        <v>102</v>
      </c>
      <c r="I3" s="35" t="s">
        <v>100</v>
      </c>
      <c r="J3" s="36" t="s">
        <v>0</v>
      </c>
      <c r="K3" s="36" t="s">
        <v>117</v>
      </c>
      <c r="L3" s="36" t="s">
        <v>101</v>
      </c>
      <c r="M3" s="37" t="s">
        <v>63</v>
      </c>
      <c r="N3" s="32" t="s">
        <v>126</v>
      </c>
      <c r="O3" t="s">
        <v>130</v>
      </c>
      <c r="P3" t="s">
        <v>131</v>
      </c>
      <c r="Q3" t="s">
        <v>101</v>
      </c>
      <c r="R3" t="s">
        <v>132</v>
      </c>
      <c r="T3" t="s">
        <v>130</v>
      </c>
      <c r="U3" t="s">
        <v>131</v>
      </c>
      <c r="V3" t="s">
        <v>101</v>
      </c>
      <c r="W3" t="s">
        <v>132</v>
      </c>
    </row>
    <row r="4" spans="1:23">
      <c r="A4" s="38" t="s">
        <v>103</v>
      </c>
      <c r="B4" s="114" t="s">
        <v>104</v>
      </c>
      <c r="C4" s="39" t="s">
        <v>105</v>
      </c>
      <c r="D4" s="40">
        <f>$B6*50</f>
        <v>2000</v>
      </c>
      <c r="E4" s="40">
        <f>$B8*4500</f>
        <v>18000</v>
      </c>
      <c r="F4" s="41">
        <f t="shared" ref="F4:F9" si="0">IF(G4="X",E4+D4,0)</f>
        <v>0</v>
      </c>
      <c r="G4" s="88"/>
      <c r="H4" s="110" t="s">
        <v>120</v>
      </c>
      <c r="I4" s="114" t="s">
        <v>104</v>
      </c>
      <c r="J4" s="39" t="s">
        <v>105</v>
      </c>
      <c r="K4" s="40">
        <f>$I6*50</f>
        <v>2000</v>
      </c>
      <c r="L4" s="40">
        <v>5000</v>
      </c>
      <c r="M4" s="41">
        <f t="shared" ref="M4:M9" si="1">IF(N4="X",L4+K4,0)</f>
        <v>7000</v>
      </c>
      <c r="N4" s="88" t="s">
        <v>118</v>
      </c>
      <c r="P4" s="20">
        <f t="shared" ref="P4:P35" si="2">D4*0.2</f>
        <v>400</v>
      </c>
      <c r="Q4" s="20">
        <f t="shared" ref="Q4:Q35" si="3">E4*0.2</f>
        <v>3600</v>
      </c>
      <c r="R4" s="20">
        <f t="shared" ref="R4:R35" si="4">SUM(P4:Q4)</f>
        <v>4000</v>
      </c>
      <c r="U4" s="20">
        <f t="shared" ref="U4:U35" si="5">K4*0.2</f>
        <v>400</v>
      </c>
      <c r="V4" s="20">
        <f t="shared" ref="V4:V35" si="6">L4*0.2</f>
        <v>1000</v>
      </c>
      <c r="W4" s="20">
        <f t="shared" ref="W4:W35" si="7">SUM(U4:V4)</f>
        <v>1400</v>
      </c>
    </row>
    <row r="5" spans="1:23">
      <c r="A5" s="38"/>
      <c r="B5" s="115" t="s">
        <v>117</v>
      </c>
      <c r="C5" s="39" t="s">
        <v>106</v>
      </c>
      <c r="D5" s="40">
        <f>$B6*50</f>
        <v>2000</v>
      </c>
      <c r="E5" s="40">
        <f>$B8*4600</f>
        <v>18400</v>
      </c>
      <c r="F5" s="41">
        <f t="shared" si="0"/>
        <v>0</v>
      </c>
      <c r="G5" s="88"/>
      <c r="H5" s="110"/>
      <c r="I5" s="115" t="s">
        <v>117</v>
      </c>
      <c r="J5" s="39" t="s">
        <v>106</v>
      </c>
      <c r="K5" s="40">
        <f>$I6*50</f>
        <v>2000</v>
      </c>
      <c r="L5" s="40">
        <v>4000</v>
      </c>
      <c r="M5" s="41">
        <f t="shared" si="1"/>
        <v>6000</v>
      </c>
      <c r="N5" s="88" t="s">
        <v>118</v>
      </c>
      <c r="P5" s="20">
        <f t="shared" si="2"/>
        <v>400</v>
      </c>
      <c r="Q5" s="20">
        <f t="shared" si="3"/>
        <v>3680</v>
      </c>
      <c r="R5" s="20">
        <f t="shared" si="4"/>
        <v>4080</v>
      </c>
      <c r="U5" s="20">
        <f t="shared" si="5"/>
        <v>400</v>
      </c>
      <c r="V5" s="20">
        <f t="shared" si="6"/>
        <v>800</v>
      </c>
      <c r="W5" s="20">
        <f t="shared" si="7"/>
        <v>1200</v>
      </c>
    </row>
    <row r="6" spans="1:23">
      <c r="A6" s="38"/>
      <c r="B6" s="115">
        <v>40</v>
      </c>
      <c r="C6" s="39" t="s">
        <v>9</v>
      </c>
      <c r="D6" s="40">
        <f>$B6*8</f>
        <v>320</v>
      </c>
      <c r="E6" s="40">
        <f>$B8*1550</f>
        <v>6200</v>
      </c>
      <c r="F6" s="41">
        <f t="shared" si="0"/>
        <v>0</v>
      </c>
      <c r="G6" s="88"/>
      <c r="H6" s="110"/>
      <c r="I6" s="115">
        <v>40</v>
      </c>
      <c r="J6" s="39" t="s">
        <v>9</v>
      </c>
      <c r="K6" s="40">
        <f>$I6*8</f>
        <v>320</v>
      </c>
      <c r="L6" s="40">
        <v>2000</v>
      </c>
      <c r="M6" s="41">
        <f t="shared" si="1"/>
        <v>2320</v>
      </c>
      <c r="N6" s="88" t="s">
        <v>118</v>
      </c>
      <c r="P6" s="20">
        <f t="shared" si="2"/>
        <v>64</v>
      </c>
      <c r="Q6" s="20">
        <f t="shared" si="3"/>
        <v>1240</v>
      </c>
      <c r="R6" s="20">
        <f t="shared" si="4"/>
        <v>1304</v>
      </c>
      <c r="U6" s="20">
        <f t="shared" si="5"/>
        <v>64</v>
      </c>
      <c r="V6" s="20">
        <f t="shared" si="6"/>
        <v>400</v>
      </c>
      <c r="W6" s="20">
        <f t="shared" si="7"/>
        <v>464</v>
      </c>
    </row>
    <row r="7" spans="1:23">
      <c r="A7" s="38"/>
      <c r="B7" s="115" t="s">
        <v>119</v>
      </c>
      <c r="C7" s="39" t="s">
        <v>107</v>
      </c>
      <c r="D7" s="40">
        <f>$B6*15</f>
        <v>600</v>
      </c>
      <c r="E7" s="40">
        <f>$B8*2580</f>
        <v>10320</v>
      </c>
      <c r="F7" s="41">
        <f t="shared" si="0"/>
        <v>0</v>
      </c>
      <c r="G7" s="88"/>
      <c r="H7" s="110"/>
      <c r="I7" s="115" t="s">
        <v>119</v>
      </c>
      <c r="J7" s="39" t="s">
        <v>107</v>
      </c>
      <c r="K7" s="40">
        <f>$I6*15</f>
        <v>600</v>
      </c>
      <c r="L7" s="40">
        <v>2000</v>
      </c>
      <c r="M7" s="41">
        <f t="shared" si="1"/>
        <v>2600</v>
      </c>
      <c r="N7" s="88" t="s">
        <v>118</v>
      </c>
      <c r="P7" s="20">
        <f t="shared" si="2"/>
        <v>120</v>
      </c>
      <c r="Q7" s="20">
        <f t="shared" si="3"/>
        <v>2064</v>
      </c>
      <c r="R7" s="20">
        <f t="shared" si="4"/>
        <v>2184</v>
      </c>
      <c r="U7" s="20">
        <f t="shared" si="5"/>
        <v>120</v>
      </c>
      <c r="V7" s="20">
        <f t="shared" si="6"/>
        <v>400</v>
      </c>
      <c r="W7" s="20">
        <f t="shared" si="7"/>
        <v>520</v>
      </c>
    </row>
    <row r="8" spans="1:23">
      <c r="A8" s="38"/>
      <c r="B8" s="115">
        <v>4</v>
      </c>
      <c r="C8" s="39" t="s">
        <v>108</v>
      </c>
      <c r="D8" s="40">
        <f>$B6*13</f>
        <v>520</v>
      </c>
      <c r="E8" s="40">
        <f>$B8*850</f>
        <v>3400</v>
      </c>
      <c r="F8" s="41">
        <f t="shared" si="0"/>
        <v>0</v>
      </c>
      <c r="G8" s="88"/>
      <c r="H8" s="110"/>
      <c r="I8" s="115">
        <v>4</v>
      </c>
      <c r="J8" s="39" t="s">
        <v>108</v>
      </c>
      <c r="K8" s="40">
        <f>$I6*13</f>
        <v>520</v>
      </c>
      <c r="L8" s="40">
        <v>2000</v>
      </c>
      <c r="M8" s="41">
        <f t="shared" si="1"/>
        <v>2520</v>
      </c>
      <c r="N8" s="88" t="s">
        <v>118</v>
      </c>
      <c r="P8" s="20">
        <f t="shared" si="2"/>
        <v>104</v>
      </c>
      <c r="Q8" s="20">
        <f t="shared" si="3"/>
        <v>680</v>
      </c>
      <c r="R8" s="20">
        <f t="shared" si="4"/>
        <v>784</v>
      </c>
      <c r="U8" s="20">
        <f t="shared" si="5"/>
        <v>104</v>
      </c>
      <c r="V8" s="20">
        <f t="shared" si="6"/>
        <v>400</v>
      </c>
      <c r="W8" s="20">
        <f t="shared" si="7"/>
        <v>504</v>
      </c>
    </row>
    <row r="9" spans="1:23">
      <c r="A9" s="38"/>
      <c r="B9" s="115"/>
      <c r="C9" s="39" t="s">
        <v>111</v>
      </c>
      <c r="D9" s="40">
        <v>0</v>
      </c>
      <c r="E9" s="40">
        <v>2500</v>
      </c>
      <c r="F9" s="41">
        <f t="shared" si="0"/>
        <v>0</v>
      </c>
      <c r="G9" s="88"/>
      <c r="H9" s="110"/>
      <c r="I9" s="115"/>
      <c r="J9" s="39" t="s">
        <v>111</v>
      </c>
      <c r="K9" s="40">
        <v>0</v>
      </c>
      <c r="L9" s="40">
        <v>2500</v>
      </c>
      <c r="M9" s="41">
        <f t="shared" si="1"/>
        <v>0</v>
      </c>
      <c r="N9" s="88"/>
      <c r="P9" s="20">
        <f t="shared" si="2"/>
        <v>0</v>
      </c>
      <c r="Q9" s="20">
        <f t="shared" si="3"/>
        <v>500</v>
      </c>
      <c r="R9" s="20">
        <f t="shared" si="4"/>
        <v>500</v>
      </c>
      <c r="U9" s="20">
        <f t="shared" si="5"/>
        <v>0</v>
      </c>
      <c r="V9" s="20">
        <f t="shared" si="6"/>
        <v>500</v>
      </c>
      <c r="W9" s="20">
        <f t="shared" si="7"/>
        <v>500</v>
      </c>
    </row>
    <row r="10" spans="1:23">
      <c r="A10" s="38"/>
      <c r="B10" s="116"/>
      <c r="C10" s="42" t="s">
        <v>64</v>
      </c>
      <c r="D10" s="43">
        <f>SUM(D4:D9)</f>
        <v>5440</v>
      </c>
      <c r="E10" s="43">
        <f>SUM(E4:E9)</f>
        <v>58820</v>
      </c>
      <c r="F10" s="44">
        <f>SUM(F4:F9)</f>
        <v>0</v>
      </c>
      <c r="G10" s="88"/>
      <c r="H10" s="110"/>
      <c r="I10" s="116"/>
      <c r="J10" s="42" t="s">
        <v>64</v>
      </c>
      <c r="K10" s="43">
        <f>SUM(K4:K9)</f>
        <v>5440</v>
      </c>
      <c r="L10" s="43">
        <f>SUM(L4:L9)</f>
        <v>17500</v>
      </c>
      <c r="M10" s="44">
        <f>SUM(M4:M9)</f>
        <v>20440</v>
      </c>
      <c r="N10" s="88"/>
      <c r="P10" s="90">
        <f t="shared" si="2"/>
        <v>1088</v>
      </c>
      <c r="Q10" s="90">
        <f t="shared" si="3"/>
        <v>11764</v>
      </c>
      <c r="R10" s="90">
        <f t="shared" si="4"/>
        <v>12852</v>
      </c>
      <c r="U10" s="90">
        <f t="shared" si="5"/>
        <v>1088</v>
      </c>
      <c r="V10" s="90">
        <f t="shared" si="6"/>
        <v>3500</v>
      </c>
      <c r="W10" s="90">
        <f t="shared" si="7"/>
        <v>4588</v>
      </c>
    </row>
    <row r="11" spans="1:23">
      <c r="A11" s="38"/>
      <c r="B11" s="117" t="s">
        <v>109</v>
      </c>
      <c r="C11" s="45" t="s">
        <v>105</v>
      </c>
      <c r="D11" s="46">
        <f>$B13*50</f>
        <v>5000</v>
      </c>
      <c r="E11" s="46">
        <f>$B15*4500</f>
        <v>18000</v>
      </c>
      <c r="F11" s="47">
        <f t="shared" ref="F11:F16" si="8">IF(G11="X",E11+D11,0)</f>
        <v>0</v>
      </c>
      <c r="G11" s="88"/>
      <c r="H11" s="110"/>
      <c r="I11" s="117" t="s">
        <v>109</v>
      </c>
      <c r="J11" s="45" t="s">
        <v>105</v>
      </c>
      <c r="K11" s="46">
        <f>$I13*50</f>
        <v>5000</v>
      </c>
      <c r="L11" s="46">
        <v>5000</v>
      </c>
      <c r="M11" s="47">
        <f t="shared" ref="M11:M16" si="9">IF(N11="X",L11+K11,0)</f>
        <v>10000</v>
      </c>
      <c r="N11" s="88" t="s">
        <v>118</v>
      </c>
      <c r="P11" s="20">
        <f t="shared" si="2"/>
        <v>1000</v>
      </c>
      <c r="Q11" s="20">
        <f t="shared" si="3"/>
        <v>3600</v>
      </c>
      <c r="R11" s="20">
        <f t="shared" si="4"/>
        <v>4600</v>
      </c>
      <c r="U11" s="20">
        <f t="shared" si="5"/>
        <v>1000</v>
      </c>
      <c r="V11" s="20">
        <f t="shared" si="6"/>
        <v>1000</v>
      </c>
      <c r="W11" s="20">
        <f t="shared" si="7"/>
        <v>2000</v>
      </c>
    </row>
    <row r="12" spans="1:23">
      <c r="A12" s="38"/>
      <c r="B12" s="118" t="s">
        <v>117</v>
      </c>
      <c r="C12" s="45" t="s">
        <v>106</v>
      </c>
      <c r="D12" s="46">
        <f>$B13*50</f>
        <v>5000</v>
      </c>
      <c r="E12" s="46">
        <f>$B15*4600</f>
        <v>18400</v>
      </c>
      <c r="F12" s="47">
        <f t="shared" si="8"/>
        <v>0</v>
      </c>
      <c r="G12" s="88"/>
      <c r="H12" s="110"/>
      <c r="I12" s="118" t="s">
        <v>117</v>
      </c>
      <c r="J12" s="45" t="s">
        <v>106</v>
      </c>
      <c r="K12" s="46">
        <f>$I13*50</f>
        <v>5000</v>
      </c>
      <c r="L12" s="46">
        <v>4000</v>
      </c>
      <c r="M12" s="47">
        <f t="shared" si="9"/>
        <v>9000</v>
      </c>
      <c r="N12" s="88" t="s">
        <v>118</v>
      </c>
      <c r="P12" s="20">
        <f t="shared" si="2"/>
        <v>1000</v>
      </c>
      <c r="Q12" s="20">
        <f t="shared" si="3"/>
        <v>3680</v>
      </c>
      <c r="R12" s="20">
        <f t="shared" si="4"/>
        <v>4680</v>
      </c>
      <c r="U12" s="20">
        <f t="shared" si="5"/>
        <v>1000</v>
      </c>
      <c r="V12" s="20">
        <f t="shared" si="6"/>
        <v>800</v>
      </c>
      <c r="W12" s="20">
        <f t="shared" si="7"/>
        <v>1800</v>
      </c>
    </row>
    <row r="13" spans="1:23">
      <c r="A13" s="38"/>
      <c r="B13" s="118">
        <v>100</v>
      </c>
      <c r="C13" s="45" t="s">
        <v>9</v>
      </c>
      <c r="D13" s="46">
        <f>$B13*8</f>
        <v>800</v>
      </c>
      <c r="E13" s="46">
        <f>$B15*1550</f>
        <v>6200</v>
      </c>
      <c r="F13" s="47">
        <f t="shared" si="8"/>
        <v>0</v>
      </c>
      <c r="G13" s="88"/>
      <c r="H13" s="110"/>
      <c r="I13" s="118">
        <v>100</v>
      </c>
      <c r="J13" s="45" t="s">
        <v>9</v>
      </c>
      <c r="K13" s="46">
        <f>$I13*8</f>
        <v>800</v>
      </c>
      <c r="L13" s="46">
        <v>2000</v>
      </c>
      <c r="M13" s="47">
        <f t="shared" si="9"/>
        <v>2800</v>
      </c>
      <c r="N13" s="88" t="s">
        <v>118</v>
      </c>
      <c r="P13" s="20">
        <f t="shared" si="2"/>
        <v>160</v>
      </c>
      <c r="Q13" s="20">
        <f t="shared" si="3"/>
        <v>1240</v>
      </c>
      <c r="R13" s="20">
        <f t="shared" si="4"/>
        <v>1400</v>
      </c>
      <c r="U13" s="20">
        <f t="shared" si="5"/>
        <v>160</v>
      </c>
      <c r="V13" s="20">
        <f t="shared" si="6"/>
        <v>400</v>
      </c>
      <c r="W13" s="20">
        <f t="shared" si="7"/>
        <v>560</v>
      </c>
    </row>
    <row r="14" spans="1:23">
      <c r="A14" s="38"/>
      <c r="B14" s="118" t="s">
        <v>119</v>
      </c>
      <c r="C14" s="45" t="s">
        <v>107</v>
      </c>
      <c r="D14" s="46">
        <f>$B13*15</f>
        <v>1500</v>
      </c>
      <c r="E14" s="46">
        <f>$B15*2580</f>
        <v>10320</v>
      </c>
      <c r="F14" s="47">
        <f t="shared" si="8"/>
        <v>0</v>
      </c>
      <c r="G14" s="88"/>
      <c r="H14" s="110"/>
      <c r="I14" s="118" t="s">
        <v>119</v>
      </c>
      <c r="J14" s="45" t="s">
        <v>107</v>
      </c>
      <c r="K14" s="46">
        <f>$I13*15</f>
        <v>1500</v>
      </c>
      <c r="L14" s="46">
        <v>2000</v>
      </c>
      <c r="M14" s="47">
        <f t="shared" si="9"/>
        <v>3500</v>
      </c>
      <c r="N14" s="88" t="s">
        <v>118</v>
      </c>
      <c r="P14" s="20">
        <f t="shared" si="2"/>
        <v>300</v>
      </c>
      <c r="Q14" s="20">
        <f t="shared" si="3"/>
        <v>2064</v>
      </c>
      <c r="R14" s="20">
        <f t="shared" si="4"/>
        <v>2364</v>
      </c>
      <c r="U14" s="20">
        <f t="shared" si="5"/>
        <v>300</v>
      </c>
      <c r="V14" s="20">
        <f t="shared" si="6"/>
        <v>400</v>
      </c>
      <c r="W14" s="20">
        <f t="shared" si="7"/>
        <v>700</v>
      </c>
    </row>
    <row r="15" spans="1:23">
      <c r="A15" s="38"/>
      <c r="B15" s="118">
        <v>4</v>
      </c>
      <c r="C15" s="45" t="s">
        <v>108</v>
      </c>
      <c r="D15" s="46">
        <f>$B13*13</f>
        <v>1300</v>
      </c>
      <c r="E15" s="46">
        <f>$B15*850</f>
        <v>3400</v>
      </c>
      <c r="F15" s="47">
        <f t="shared" si="8"/>
        <v>0</v>
      </c>
      <c r="G15" s="88"/>
      <c r="H15" s="110"/>
      <c r="I15" s="118">
        <v>4</v>
      </c>
      <c r="J15" s="45" t="s">
        <v>108</v>
      </c>
      <c r="K15" s="46">
        <f>$I13*13</f>
        <v>1300</v>
      </c>
      <c r="L15" s="46">
        <v>2000</v>
      </c>
      <c r="M15" s="47">
        <f t="shared" si="9"/>
        <v>3300</v>
      </c>
      <c r="N15" s="88" t="s">
        <v>118</v>
      </c>
      <c r="P15" s="20">
        <f t="shared" si="2"/>
        <v>260</v>
      </c>
      <c r="Q15" s="20">
        <f t="shared" si="3"/>
        <v>680</v>
      </c>
      <c r="R15" s="20">
        <f t="shared" si="4"/>
        <v>940</v>
      </c>
      <c r="U15" s="20">
        <f t="shared" si="5"/>
        <v>260</v>
      </c>
      <c r="V15" s="20">
        <f t="shared" si="6"/>
        <v>400</v>
      </c>
      <c r="W15" s="20">
        <f t="shared" si="7"/>
        <v>660</v>
      </c>
    </row>
    <row r="16" spans="1:23">
      <c r="A16" s="38"/>
      <c r="B16" s="118"/>
      <c r="C16" s="45" t="s">
        <v>111</v>
      </c>
      <c r="D16" s="46">
        <v>0</v>
      </c>
      <c r="E16" s="46">
        <v>2500</v>
      </c>
      <c r="F16" s="47">
        <f t="shared" si="8"/>
        <v>0</v>
      </c>
      <c r="G16" s="88"/>
      <c r="H16" s="110"/>
      <c r="I16" s="118"/>
      <c r="J16" s="45" t="s">
        <v>111</v>
      </c>
      <c r="K16" s="46">
        <v>0</v>
      </c>
      <c r="L16" s="46">
        <v>2500</v>
      </c>
      <c r="M16" s="47">
        <f t="shared" si="9"/>
        <v>0</v>
      </c>
      <c r="N16" s="88"/>
      <c r="P16" s="20">
        <f t="shared" si="2"/>
        <v>0</v>
      </c>
      <c r="Q16" s="20">
        <f t="shared" si="3"/>
        <v>500</v>
      </c>
      <c r="R16" s="20">
        <f t="shared" si="4"/>
        <v>500</v>
      </c>
      <c r="U16" s="20">
        <f t="shared" si="5"/>
        <v>0</v>
      </c>
      <c r="V16" s="20">
        <f t="shared" si="6"/>
        <v>500</v>
      </c>
      <c r="W16" s="20">
        <f t="shared" si="7"/>
        <v>500</v>
      </c>
    </row>
    <row r="17" spans="1:23">
      <c r="A17" s="38"/>
      <c r="B17" s="119"/>
      <c r="C17" s="48" t="s">
        <v>64</v>
      </c>
      <c r="D17" s="49">
        <f>SUM(D11:D16)</f>
        <v>13600</v>
      </c>
      <c r="E17" s="49">
        <f>SUM(E11:E16)</f>
        <v>58820</v>
      </c>
      <c r="F17" s="50">
        <f>SUM(F11:F16)</f>
        <v>0</v>
      </c>
      <c r="G17" s="88"/>
      <c r="H17" s="110"/>
      <c r="I17" s="119"/>
      <c r="J17" s="48" t="s">
        <v>64</v>
      </c>
      <c r="K17" s="49">
        <f>SUM(K11:K16)</f>
        <v>13600</v>
      </c>
      <c r="L17" s="49">
        <f>SUM(L11:L16)</f>
        <v>17500</v>
      </c>
      <c r="M17" s="50">
        <f>SUM(M11:M16)</f>
        <v>28600</v>
      </c>
      <c r="N17" s="88"/>
      <c r="P17" s="90">
        <f t="shared" si="2"/>
        <v>2720</v>
      </c>
      <c r="Q17" s="90">
        <f t="shared" si="3"/>
        <v>11764</v>
      </c>
      <c r="R17" s="90">
        <f t="shared" si="4"/>
        <v>14484</v>
      </c>
      <c r="U17" s="90">
        <f t="shared" si="5"/>
        <v>2720</v>
      </c>
      <c r="V17" s="90">
        <f t="shared" si="6"/>
        <v>3500</v>
      </c>
      <c r="W17" s="90">
        <f t="shared" si="7"/>
        <v>6220</v>
      </c>
    </row>
    <row r="18" spans="1:23">
      <c r="A18" s="38"/>
      <c r="B18" s="120" t="s">
        <v>110</v>
      </c>
      <c r="C18" s="51" t="s">
        <v>105</v>
      </c>
      <c r="D18" s="52">
        <f>$B20*50</f>
        <v>500</v>
      </c>
      <c r="E18" s="52">
        <f>$B22*4500</f>
        <v>18000</v>
      </c>
      <c r="F18" s="53">
        <f t="shared" ref="F18:F23" si="10">IF(G18="X",E18+D18,0)</f>
        <v>18500</v>
      </c>
      <c r="G18" s="88" t="s">
        <v>118</v>
      </c>
      <c r="H18" s="110"/>
      <c r="I18" s="120" t="s">
        <v>110</v>
      </c>
      <c r="J18" s="51" t="s">
        <v>105</v>
      </c>
      <c r="K18" s="52">
        <f>$I20*50</f>
        <v>500</v>
      </c>
      <c r="L18" s="52">
        <v>5000</v>
      </c>
      <c r="M18" s="53">
        <f t="shared" ref="M18:M23" si="11">IF(N18="X",L18+K18,0)</f>
        <v>0</v>
      </c>
      <c r="N18" s="88"/>
      <c r="P18" s="20">
        <f t="shared" si="2"/>
        <v>100</v>
      </c>
      <c r="Q18" s="20">
        <f t="shared" si="3"/>
        <v>3600</v>
      </c>
      <c r="R18" s="20">
        <f t="shared" si="4"/>
        <v>3700</v>
      </c>
      <c r="U18" s="20">
        <f t="shared" si="5"/>
        <v>100</v>
      </c>
      <c r="V18" s="20">
        <f t="shared" si="6"/>
        <v>1000</v>
      </c>
      <c r="W18" s="20">
        <f t="shared" si="7"/>
        <v>1100</v>
      </c>
    </row>
    <row r="19" spans="1:23">
      <c r="A19" s="38"/>
      <c r="B19" s="121" t="s">
        <v>117</v>
      </c>
      <c r="C19" s="51" t="s">
        <v>106</v>
      </c>
      <c r="D19" s="52">
        <f>$B20*50</f>
        <v>500</v>
      </c>
      <c r="E19" s="52">
        <f>$B22*4600</f>
        <v>18400</v>
      </c>
      <c r="F19" s="53">
        <f t="shared" si="10"/>
        <v>18900</v>
      </c>
      <c r="G19" s="88" t="s">
        <v>118</v>
      </c>
      <c r="H19" s="110"/>
      <c r="I19" s="121" t="s">
        <v>117</v>
      </c>
      <c r="J19" s="51" t="s">
        <v>106</v>
      </c>
      <c r="K19" s="52">
        <f>$I20*50</f>
        <v>500</v>
      </c>
      <c r="L19" s="52">
        <v>4000</v>
      </c>
      <c r="M19" s="53">
        <f t="shared" si="11"/>
        <v>0</v>
      </c>
      <c r="N19" s="88"/>
      <c r="P19" s="20">
        <f t="shared" si="2"/>
        <v>100</v>
      </c>
      <c r="Q19" s="20">
        <f t="shared" si="3"/>
        <v>3680</v>
      </c>
      <c r="R19" s="20">
        <f t="shared" si="4"/>
        <v>3780</v>
      </c>
      <c r="U19" s="20">
        <f t="shared" si="5"/>
        <v>100</v>
      </c>
      <c r="V19" s="20">
        <f t="shared" si="6"/>
        <v>800</v>
      </c>
      <c r="W19" s="20">
        <f t="shared" si="7"/>
        <v>900</v>
      </c>
    </row>
    <row r="20" spans="1:23">
      <c r="A20" s="38"/>
      <c r="B20" s="121">
        <v>10</v>
      </c>
      <c r="C20" s="51" t="s">
        <v>9</v>
      </c>
      <c r="D20" s="52">
        <f>$B20*8</f>
        <v>80</v>
      </c>
      <c r="E20" s="52">
        <f>$B22*1550</f>
        <v>6200</v>
      </c>
      <c r="F20" s="53">
        <f t="shared" si="10"/>
        <v>6280</v>
      </c>
      <c r="G20" s="88" t="s">
        <v>118</v>
      </c>
      <c r="H20" s="110"/>
      <c r="I20" s="121">
        <v>10</v>
      </c>
      <c r="J20" s="51" t="s">
        <v>9</v>
      </c>
      <c r="K20" s="52">
        <f>$I20*8</f>
        <v>80</v>
      </c>
      <c r="L20" s="52">
        <v>2000</v>
      </c>
      <c r="M20" s="53">
        <f t="shared" si="11"/>
        <v>0</v>
      </c>
      <c r="N20" s="88"/>
      <c r="P20" s="20">
        <f t="shared" si="2"/>
        <v>16</v>
      </c>
      <c r="Q20" s="20">
        <f t="shared" si="3"/>
        <v>1240</v>
      </c>
      <c r="R20" s="20">
        <f t="shared" si="4"/>
        <v>1256</v>
      </c>
      <c r="U20" s="20">
        <f t="shared" si="5"/>
        <v>16</v>
      </c>
      <c r="V20" s="20">
        <f t="shared" si="6"/>
        <v>400</v>
      </c>
      <c r="W20" s="20">
        <f t="shared" si="7"/>
        <v>416</v>
      </c>
    </row>
    <row r="21" spans="1:23">
      <c r="A21" s="38"/>
      <c r="B21" s="121" t="s">
        <v>119</v>
      </c>
      <c r="C21" s="51" t="s">
        <v>107</v>
      </c>
      <c r="D21" s="52">
        <f>$B20*15</f>
        <v>150</v>
      </c>
      <c r="E21" s="52">
        <f>$B22*2580</f>
        <v>10320</v>
      </c>
      <c r="F21" s="53">
        <f t="shared" si="10"/>
        <v>10470</v>
      </c>
      <c r="G21" s="88" t="s">
        <v>118</v>
      </c>
      <c r="H21" s="110"/>
      <c r="I21" s="121" t="s">
        <v>119</v>
      </c>
      <c r="J21" s="51" t="s">
        <v>107</v>
      </c>
      <c r="K21" s="52">
        <f>$I20*15</f>
        <v>150</v>
      </c>
      <c r="L21" s="52">
        <v>2000</v>
      </c>
      <c r="M21" s="53">
        <f t="shared" si="11"/>
        <v>0</v>
      </c>
      <c r="N21" s="88"/>
      <c r="P21" s="20">
        <f t="shared" si="2"/>
        <v>30</v>
      </c>
      <c r="Q21" s="20">
        <f t="shared" si="3"/>
        <v>2064</v>
      </c>
      <c r="R21" s="20">
        <f t="shared" si="4"/>
        <v>2094</v>
      </c>
      <c r="U21" s="20">
        <f t="shared" si="5"/>
        <v>30</v>
      </c>
      <c r="V21" s="20">
        <f t="shared" si="6"/>
        <v>400</v>
      </c>
      <c r="W21" s="20">
        <f t="shared" si="7"/>
        <v>430</v>
      </c>
    </row>
    <row r="22" spans="1:23">
      <c r="A22" s="38"/>
      <c r="B22" s="121">
        <v>4</v>
      </c>
      <c r="C22" s="51" t="s">
        <v>108</v>
      </c>
      <c r="D22" s="52">
        <f>$B20*13</f>
        <v>130</v>
      </c>
      <c r="E22" s="52">
        <f>$B22*850</f>
        <v>3400</v>
      </c>
      <c r="F22" s="53">
        <f t="shared" si="10"/>
        <v>3530</v>
      </c>
      <c r="G22" s="88" t="s">
        <v>118</v>
      </c>
      <c r="H22" s="110"/>
      <c r="I22" s="121">
        <v>4</v>
      </c>
      <c r="J22" s="51" t="s">
        <v>108</v>
      </c>
      <c r="K22" s="52">
        <f>$I20*13</f>
        <v>130</v>
      </c>
      <c r="L22" s="52">
        <v>2000</v>
      </c>
      <c r="M22" s="53">
        <f t="shared" si="11"/>
        <v>0</v>
      </c>
      <c r="N22" s="88"/>
      <c r="P22" s="20">
        <f t="shared" si="2"/>
        <v>26</v>
      </c>
      <c r="Q22" s="20">
        <f t="shared" si="3"/>
        <v>680</v>
      </c>
      <c r="R22" s="20">
        <f t="shared" si="4"/>
        <v>706</v>
      </c>
      <c r="U22" s="20">
        <f t="shared" si="5"/>
        <v>26</v>
      </c>
      <c r="V22" s="20">
        <f t="shared" si="6"/>
        <v>400</v>
      </c>
      <c r="W22" s="20">
        <f t="shared" si="7"/>
        <v>426</v>
      </c>
    </row>
    <row r="23" spans="1:23">
      <c r="A23" s="38"/>
      <c r="B23" s="121"/>
      <c r="C23" s="51" t="s">
        <v>111</v>
      </c>
      <c r="D23" s="52">
        <v>0</v>
      </c>
      <c r="E23" s="52">
        <v>2500</v>
      </c>
      <c r="F23" s="53">
        <f t="shared" si="10"/>
        <v>2500</v>
      </c>
      <c r="G23" s="88" t="s">
        <v>118</v>
      </c>
      <c r="H23" s="110"/>
      <c r="I23" s="121"/>
      <c r="J23" s="51" t="s">
        <v>111</v>
      </c>
      <c r="K23" s="52">
        <v>0</v>
      </c>
      <c r="L23" s="52">
        <v>2500</v>
      </c>
      <c r="M23" s="53">
        <f t="shared" si="11"/>
        <v>0</v>
      </c>
      <c r="N23" s="88"/>
      <c r="P23" s="20">
        <f t="shared" si="2"/>
        <v>0</v>
      </c>
      <c r="Q23" s="20">
        <f t="shared" si="3"/>
        <v>500</v>
      </c>
      <c r="R23" s="20">
        <f t="shared" si="4"/>
        <v>500</v>
      </c>
      <c r="U23" s="20">
        <f t="shared" si="5"/>
        <v>0</v>
      </c>
      <c r="V23" s="20">
        <f t="shared" si="6"/>
        <v>500</v>
      </c>
      <c r="W23" s="20">
        <f t="shared" si="7"/>
        <v>500</v>
      </c>
    </row>
    <row r="24" spans="1:23">
      <c r="A24" s="38"/>
      <c r="B24" s="122"/>
      <c r="C24" s="54" t="s">
        <v>64</v>
      </c>
      <c r="D24" s="55">
        <f>SUM(D18:D23)</f>
        <v>1360</v>
      </c>
      <c r="E24" s="55">
        <f>SUM(E18:E23)</f>
        <v>58820</v>
      </c>
      <c r="F24" s="56">
        <f>SUM(F18:F23)</f>
        <v>60180</v>
      </c>
      <c r="G24" s="88"/>
      <c r="H24" s="110"/>
      <c r="I24" s="122"/>
      <c r="J24" s="54" t="s">
        <v>64</v>
      </c>
      <c r="K24" s="55">
        <f>SUM(K18:K23)</f>
        <v>1360</v>
      </c>
      <c r="L24" s="55">
        <f>SUM(L18:L23)</f>
        <v>17500</v>
      </c>
      <c r="M24" s="56">
        <f>SUM(M18:M23)</f>
        <v>0</v>
      </c>
      <c r="N24" s="88"/>
      <c r="P24" s="90">
        <f t="shared" si="2"/>
        <v>272</v>
      </c>
      <c r="Q24" s="90">
        <f t="shared" si="3"/>
        <v>11764</v>
      </c>
      <c r="R24" s="90">
        <f t="shared" si="4"/>
        <v>12036</v>
      </c>
      <c r="U24" s="90">
        <f t="shared" si="5"/>
        <v>272</v>
      </c>
      <c r="V24" s="90">
        <f t="shared" si="6"/>
        <v>3500</v>
      </c>
      <c r="W24" s="90">
        <f t="shared" si="7"/>
        <v>3772</v>
      </c>
    </row>
    <row r="25" spans="1:23">
      <c r="A25" s="38"/>
      <c r="B25" s="111" t="s">
        <v>112</v>
      </c>
      <c r="C25" s="57" t="s">
        <v>105</v>
      </c>
      <c r="D25" s="58">
        <f>$B27*50</f>
        <v>1250</v>
      </c>
      <c r="E25" s="58">
        <f>$B29*4500</f>
        <v>18000</v>
      </c>
      <c r="F25" s="59">
        <f t="shared" ref="F25:F30" si="12">IF(G25="X",E25+D25,0)</f>
        <v>0</v>
      </c>
      <c r="G25" s="88"/>
      <c r="H25" s="110"/>
      <c r="I25" s="111" t="s">
        <v>112</v>
      </c>
      <c r="J25" s="57" t="s">
        <v>105</v>
      </c>
      <c r="K25" s="58">
        <f>$I27*50</f>
        <v>1250</v>
      </c>
      <c r="L25" s="58">
        <v>5000</v>
      </c>
      <c r="M25" s="59">
        <f t="shared" ref="M25:M30" si="13">IF(N25="X",L25+K25,0)</f>
        <v>6250</v>
      </c>
      <c r="N25" s="88" t="s">
        <v>118</v>
      </c>
      <c r="P25" s="20">
        <f t="shared" si="2"/>
        <v>250</v>
      </c>
      <c r="Q25" s="20">
        <f t="shared" si="3"/>
        <v>3600</v>
      </c>
      <c r="R25" s="20">
        <f t="shared" si="4"/>
        <v>3850</v>
      </c>
      <c r="U25" s="20">
        <f t="shared" si="5"/>
        <v>250</v>
      </c>
      <c r="V25" s="20">
        <f t="shared" si="6"/>
        <v>1000</v>
      </c>
      <c r="W25" s="20">
        <f t="shared" si="7"/>
        <v>1250</v>
      </c>
    </row>
    <row r="26" spans="1:23">
      <c r="A26" s="38"/>
      <c r="B26" s="112" t="s">
        <v>117</v>
      </c>
      <c r="C26" s="57" t="s">
        <v>106</v>
      </c>
      <c r="D26" s="58">
        <f>$B27*50</f>
        <v>1250</v>
      </c>
      <c r="E26" s="58">
        <f>$B29*4600</f>
        <v>18400</v>
      </c>
      <c r="F26" s="59">
        <f t="shared" si="12"/>
        <v>0</v>
      </c>
      <c r="G26" s="88"/>
      <c r="H26" s="110"/>
      <c r="I26" s="112" t="s">
        <v>117</v>
      </c>
      <c r="J26" s="57" t="s">
        <v>106</v>
      </c>
      <c r="K26" s="58">
        <f>$I27*50</f>
        <v>1250</v>
      </c>
      <c r="L26" s="58">
        <v>4000</v>
      </c>
      <c r="M26" s="59">
        <f t="shared" si="13"/>
        <v>5250</v>
      </c>
      <c r="N26" s="88" t="s">
        <v>118</v>
      </c>
      <c r="P26" s="20">
        <f t="shared" si="2"/>
        <v>250</v>
      </c>
      <c r="Q26" s="20">
        <f t="shared" si="3"/>
        <v>3680</v>
      </c>
      <c r="R26" s="20">
        <f t="shared" si="4"/>
        <v>3930</v>
      </c>
      <c r="U26" s="20">
        <f t="shared" si="5"/>
        <v>250</v>
      </c>
      <c r="V26" s="20">
        <f t="shared" si="6"/>
        <v>800</v>
      </c>
      <c r="W26" s="20">
        <f t="shared" si="7"/>
        <v>1050</v>
      </c>
    </row>
    <row r="27" spans="1:23">
      <c r="A27" s="38"/>
      <c r="B27" s="112">
        <v>25</v>
      </c>
      <c r="C27" s="57" t="s">
        <v>9</v>
      </c>
      <c r="D27" s="58">
        <f>$B27*8</f>
        <v>200</v>
      </c>
      <c r="E27" s="58">
        <f>$B29*1550</f>
        <v>6200</v>
      </c>
      <c r="F27" s="59">
        <f t="shared" si="12"/>
        <v>0</v>
      </c>
      <c r="G27" s="88"/>
      <c r="H27" s="110"/>
      <c r="I27" s="112">
        <v>25</v>
      </c>
      <c r="J27" s="57" t="s">
        <v>9</v>
      </c>
      <c r="K27" s="58">
        <f>$I27*8</f>
        <v>200</v>
      </c>
      <c r="L27" s="58">
        <v>2000</v>
      </c>
      <c r="M27" s="59">
        <f t="shared" si="13"/>
        <v>2200</v>
      </c>
      <c r="N27" s="88" t="s">
        <v>118</v>
      </c>
      <c r="P27" s="20">
        <f t="shared" si="2"/>
        <v>40</v>
      </c>
      <c r="Q27" s="20">
        <f t="shared" si="3"/>
        <v>1240</v>
      </c>
      <c r="R27" s="20">
        <f t="shared" si="4"/>
        <v>1280</v>
      </c>
      <c r="U27" s="20">
        <f t="shared" si="5"/>
        <v>40</v>
      </c>
      <c r="V27" s="20">
        <f t="shared" si="6"/>
        <v>400</v>
      </c>
      <c r="W27" s="20">
        <f t="shared" si="7"/>
        <v>440</v>
      </c>
    </row>
    <row r="28" spans="1:23">
      <c r="A28" s="38"/>
      <c r="B28" s="112" t="s">
        <v>119</v>
      </c>
      <c r="C28" s="57" t="s">
        <v>107</v>
      </c>
      <c r="D28" s="58">
        <f>$B27*15</f>
        <v>375</v>
      </c>
      <c r="E28" s="58">
        <f>$B29*2580</f>
        <v>10320</v>
      </c>
      <c r="F28" s="59">
        <f t="shared" si="12"/>
        <v>0</v>
      </c>
      <c r="G28" s="88"/>
      <c r="H28" s="110"/>
      <c r="I28" s="112" t="s">
        <v>119</v>
      </c>
      <c r="J28" s="57" t="s">
        <v>107</v>
      </c>
      <c r="K28" s="58">
        <f>$I27*15</f>
        <v>375</v>
      </c>
      <c r="L28" s="58">
        <v>2000</v>
      </c>
      <c r="M28" s="59">
        <f t="shared" si="13"/>
        <v>0</v>
      </c>
      <c r="N28" s="88"/>
      <c r="P28" s="20">
        <f t="shared" si="2"/>
        <v>75</v>
      </c>
      <c r="Q28" s="20">
        <f t="shared" si="3"/>
        <v>2064</v>
      </c>
      <c r="R28" s="20">
        <f t="shared" si="4"/>
        <v>2139</v>
      </c>
      <c r="U28" s="20">
        <f t="shared" si="5"/>
        <v>75</v>
      </c>
      <c r="V28" s="20">
        <f t="shared" si="6"/>
        <v>400</v>
      </c>
      <c r="W28" s="20">
        <f t="shared" si="7"/>
        <v>475</v>
      </c>
    </row>
    <row r="29" spans="1:23">
      <c r="A29" s="38"/>
      <c r="B29" s="112">
        <v>4</v>
      </c>
      <c r="C29" s="57" t="s">
        <v>108</v>
      </c>
      <c r="D29" s="58">
        <f>$B27*13</f>
        <v>325</v>
      </c>
      <c r="E29" s="58">
        <f>$B29*850</f>
        <v>3400</v>
      </c>
      <c r="F29" s="59">
        <f t="shared" si="12"/>
        <v>0</v>
      </c>
      <c r="G29" s="88"/>
      <c r="H29" s="110"/>
      <c r="I29" s="112">
        <v>4</v>
      </c>
      <c r="J29" s="57" t="s">
        <v>108</v>
      </c>
      <c r="K29" s="58">
        <f>$I27*13</f>
        <v>325</v>
      </c>
      <c r="L29" s="58">
        <v>2000</v>
      </c>
      <c r="M29" s="59">
        <f t="shared" si="13"/>
        <v>0</v>
      </c>
      <c r="N29" s="88"/>
      <c r="P29" s="20">
        <f t="shared" si="2"/>
        <v>65</v>
      </c>
      <c r="Q29" s="20">
        <f t="shared" si="3"/>
        <v>680</v>
      </c>
      <c r="R29" s="20">
        <f t="shared" si="4"/>
        <v>745</v>
      </c>
      <c r="U29" s="20">
        <f t="shared" si="5"/>
        <v>65</v>
      </c>
      <c r="V29" s="20">
        <f t="shared" si="6"/>
        <v>400</v>
      </c>
      <c r="W29" s="20">
        <f t="shared" si="7"/>
        <v>465</v>
      </c>
    </row>
    <row r="30" spans="1:23">
      <c r="A30" s="38"/>
      <c r="B30" s="112"/>
      <c r="C30" s="57" t="s">
        <v>111</v>
      </c>
      <c r="D30" s="58">
        <v>0</v>
      </c>
      <c r="E30" s="58">
        <v>2500</v>
      </c>
      <c r="F30" s="59">
        <f t="shared" si="12"/>
        <v>0</v>
      </c>
      <c r="G30" s="88"/>
      <c r="H30" s="110"/>
      <c r="I30" s="112"/>
      <c r="J30" s="57" t="s">
        <v>111</v>
      </c>
      <c r="K30" s="58">
        <v>0</v>
      </c>
      <c r="L30" s="58">
        <v>2500</v>
      </c>
      <c r="M30" s="59">
        <f t="shared" si="13"/>
        <v>0</v>
      </c>
      <c r="N30" s="88"/>
      <c r="P30" s="20">
        <f t="shared" si="2"/>
        <v>0</v>
      </c>
      <c r="Q30" s="20">
        <f t="shared" si="3"/>
        <v>500</v>
      </c>
      <c r="R30" s="20">
        <f t="shared" si="4"/>
        <v>500</v>
      </c>
      <c r="U30" s="20">
        <f t="shared" si="5"/>
        <v>0</v>
      </c>
      <c r="V30" s="20">
        <f t="shared" si="6"/>
        <v>500</v>
      </c>
      <c r="W30" s="20">
        <f t="shared" si="7"/>
        <v>500</v>
      </c>
    </row>
    <row r="31" spans="1:23">
      <c r="A31" s="38"/>
      <c r="B31" s="113"/>
      <c r="C31" s="60" t="s">
        <v>64</v>
      </c>
      <c r="D31" s="61">
        <f>SUM(D25:D30)</f>
        <v>3400</v>
      </c>
      <c r="E31" s="61">
        <f>SUM(E25:E30)</f>
        <v>58820</v>
      </c>
      <c r="F31" s="62">
        <f>SUM(F25:F30)</f>
        <v>0</v>
      </c>
      <c r="G31" s="88"/>
      <c r="H31" s="110"/>
      <c r="I31" s="113"/>
      <c r="J31" s="60" t="s">
        <v>64</v>
      </c>
      <c r="K31" s="61">
        <f>SUM(K25:K30)</f>
        <v>3400</v>
      </c>
      <c r="L31" s="61">
        <f>SUM(L25:L30)</f>
        <v>17500</v>
      </c>
      <c r="M31" s="62">
        <f>SUM(M25:M30)</f>
        <v>13700</v>
      </c>
      <c r="N31" s="88"/>
      <c r="P31" s="90">
        <f t="shared" si="2"/>
        <v>680</v>
      </c>
      <c r="Q31" s="90">
        <f t="shared" si="3"/>
        <v>11764</v>
      </c>
      <c r="R31" s="90">
        <f t="shared" si="4"/>
        <v>12444</v>
      </c>
      <c r="U31" s="90">
        <f t="shared" si="5"/>
        <v>680</v>
      </c>
      <c r="V31" s="90">
        <f t="shared" si="6"/>
        <v>3500</v>
      </c>
      <c r="W31" s="90">
        <f t="shared" si="7"/>
        <v>4180</v>
      </c>
    </row>
    <row r="32" spans="1:23">
      <c r="A32" s="38"/>
      <c r="B32" s="123" t="s">
        <v>113</v>
      </c>
      <c r="C32" s="63" t="s">
        <v>105</v>
      </c>
      <c r="D32" s="64">
        <f>$B34*50</f>
        <v>2500</v>
      </c>
      <c r="E32" s="64">
        <f>$B36*4500</f>
        <v>18000</v>
      </c>
      <c r="F32" s="65">
        <f t="shared" ref="F32:F37" si="14">IF(G32="X",E32+D32,0)</f>
        <v>20500</v>
      </c>
      <c r="G32" s="88" t="s">
        <v>118</v>
      </c>
      <c r="H32" s="110"/>
      <c r="I32" s="123" t="s">
        <v>113</v>
      </c>
      <c r="J32" s="63" t="s">
        <v>105</v>
      </c>
      <c r="K32" s="64">
        <f>$I34*50</f>
        <v>2500</v>
      </c>
      <c r="L32" s="64">
        <v>5000</v>
      </c>
      <c r="M32" s="65">
        <f t="shared" ref="M32:M37" si="15">IF(N32="X",L32+K32,0)</f>
        <v>0</v>
      </c>
      <c r="N32" s="88"/>
      <c r="P32" s="20">
        <f t="shared" si="2"/>
        <v>500</v>
      </c>
      <c r="Q32" s="20">
        <f t="shared" si="3"/>
        <v>3600</v>
      </c>
      <c r="R32" s="20">
        <f t="shared" si="4"/>
        <v>4100</v>
      </c>
      <c r="U32" s="20">
        <f t="shared" si="5"/>
        <v>500</v>
      </c>
      <c r="V32" s="20">
        <f t="shared" si="6"/>
        <v>1000</v>
      </c>
      <c r="W32" s="20">
        <f t="shared" si="7"/>
        <v>1500</v>
      </c>
    </row>
    <row r="33" spans="1:23">
      <c r="A33" s="38"/>
      <c r="B33" s="124" t="s">
        <v>117</v>
      </c>
      <c r="C33" s="63" t="s">
        <v>106</v>
      </c>
      <c r="D33" s="64">
        <f>$B34*50</f>
        <v>2500</v>
      </c>
      <c r="E33" s="64">
        <f>$B36*4600</f>
        <v>18400</v>
      </c>
      <c r="F33" s="65">
        <f t="shared" si="14"/>
        <v>20900</v>
      </c>
      <c r="G33" s="88" t="s">
        <v>118</v>
      </c>
      <c r="H33" s="110"/>
      <c r="I33" s="124" t="s">
        <v>117</v>
      </c>
      <c r="J33" s="63" t="s">
        <v>106</v>
      </c>
      <c r="K33" s="64">
        <f>$I34*50</f>
        <v>2500</v>
      </c>
      <c r="L33" s="64">
        <v>4000</v>
      </c>
      <c r="M33" s="65">
        <f t="shared" si="15"/>
        <v>0</v>
      </c>
      <c r="N33" s="88"/>
      <c r="P33" s="20">
        <f t="shared" si="2"/>
        <v>500</v>
      </c>
      <c r="Q33" s="20">
        <f t="shared" si="3"/>
        <v>3680</v>
      </c>
      <c r="R33" s="20">
        <f t="shared" si="4"/>
        <v>4180</v>
      </c>
      <c r="U33" s="20">
        <f t="shared" si="5"/>
        <v>500</v>
      </c>
      <c r="V33" s="20">
        <f t="shared" si="6"/>
        <v>800</v>
      </c>
      <c r="W33" s="20">
        <f t="shared" si="7"/>
        <v>1300</v>
      </c>
    </row>
    <row r="34" spans="1:23">
      <c r="A34" s="38"/>
      <c r="B34" s="124">
        <v>50</v>
      </c>
      <c r="C34" s="63" t="s">
        <v>9</v>
      </c>
      <c r="D34" s="64">
        <f>$B34*8</f>
        <v>400</v>
      </c>
      <c r="E34" s="64">
        <f>$B36*1550</f>
        <v>6200</v>
      </c>
      <c r="F34" s="65">
        <f t="shared" si="14"/>
        <v>6600</v>
      </c>
      <c r="G34" s="88" t="s">
        <v>118</v>
      </c>
      <c r="H34" s="110"/>
      <c r="I34" s="124">
        <v>50</v>
      </c>
      <c r="J34" s="63" t="s">
        <v>9</v>
      </c>
      <c r="K34" s="64">
        <f>$I34*8</f>
        <v>400</v>
      </c>
      <c r="L34" s="64">
        <v>2000</v>
      </c>
      <c r="M34" s="65">
        <f t="shared" si="15"/>
        <v>0</v>
      </c>
      <c r="N34" s="88"/>
      <c r="P34" s="20">
        <f t="shared" si="2"/>
        <v>80</v>
      </c>
      <c r="Q34" s="20">
        <f t="shared" si="3"/>
        <v>1240</v>
      </c>
      <c r="R34" s="20">
        <f t="shared" si="4"/>
        <v>1320</v>
      </c>
      <c r="U34" s="20">
        <f t="shared" si="5"/>
        <v>80</v>
      </c>
      <c r="V34" s="20">
        <f t="shared" si="6"/>
        <v>400</v>
      </c>
      <c r="W34" s="20">
        <f t="shared" si="7"/>
        <v>480</v>
      </c>
    </row>
    <row r="35" spans="1:23">
      <c r="A35" s="38"/>
      <c r="B35" s="124" t="s">
        <v>119</v>
      </c>
      <c r="C35" s="63" t="s">
        <v>108</v>
      </c>
      <c r="D35" s="64">
        <f>$B34*15</f>
        <v>750</v>
      </c>
      <c r="E35" s="64">
        <f>$B36*2580</f>
        <v>10320</v>
      </c>
      <c r="F35" s="65">
        <f t="shared" si="14"/>
        <v>0</v>
      </c>
      <c r="G35" s="88"/>
      <c r="H35" s="110"/>
      <c r="I35" s="124" t="s">
        <v>119</v>
      </c>
      <c r="J35" s="63" t="s">
        <v>108</v>
      </c>
      <c r="K35" s="64">
        <f>$I34*15</f>
        <v>750</v>
      </c>
      <c r="L35" s="64">
        <v>2000</v>
      </c>
      <c r="M35" s="65">
        <f t="shared" si="15"/>
        <v>0</v>
      </c>
      <c r="N35" s="88"/>
      <c r="P35" s="20">
        <f t="shared" si="2"/>
        <v>150</v>
      </c>
      <c r="Q35" s="20">
        <f t="shared" si="3"/>
        <v>2064</v>
      </c>
      <c r="R35" s="20">
        <f t="shared" si="4"/>
        <v>2214</v>
      </c>
      <c r="U35" s="20">
        <f t="shared" si="5"/>
        <v>150</v>
      </c>
      <c r="V35" s="20">
        <f t="shared" si="6"/>
        <v>400</v>
      </c>
      <c r="W35" s="20">
        <f t="shared" si="7"/>
        <v>550</v>
      </c>
    </row>
    <row r="36" spans="1:23">
      <c r="A36" s="38"/>
      <c r="B36" s="124">
        <v>4</v>
      </c>
      <c r="C36" s="63" t="s">
        <v>107</v>
      </c>
      <c r="D36" s="64">
        <f>$B34*13</f>
        <v>650</v>
      </c>
      <c r="E36" s="64">
        <f>$B36*850</f>
        <v>3400</v>
      </c>
      <c r="F36" s="65">
        <f t="shared" si="14"/>
        <v>4050</v>
      </c>
      <c r="G36" s="88" t="s">
        <v>118</v>
      </c>
      <c r="H36" s="110"/>
      <c r="I36" s="124">
        <v>4</v>
      </c>
      <c r="J36" s="63" t="s">
        <v>107</v>
      </c>
      <c r="K36" s="64">
        <f>$I34*13</f>
        <v>650</v>
      </c>
      <c r="L36" s="64">
        <v>2000</v>
      </c>
      <c r="M36" s="65">
        <f t="shared" si="15"/>
        <v>0</v>
      </c>
      <c r="N36" s="88"/>
      <c r="P36" s="20">
        <f t="shared" ref="P36:P59" si="16">D36*0.2</f>
        <v>130</v>
      </c>
      <c r="Q36" s="20">
        <f t="shared" ref="Q36:Q59" si="17">E36*0.2</f>
        <v>680</v>
      </c>
      <c r="R36" s="20">
        <f t="shared" ref="R36:R59" si="18">SUM(P36:Q36)</f>
        <v>810</v>
      </c>
      <c r="U36" s="20">
        <f t="shared" ref="U36:U59" si="19">K36*0.2</f>
        <v>130</v>
      </c>
      <c r="V36" s="20">
        <f t="shared" ref="V36:V59" si="20">L36*0.2</f>
        <v>400</v>
      </c>
      <c r="W36" s="20">
        <f t="shared" ref="W36:W59" si="21">SUM(U36:V36)</f>
        <v>530</v>
      </c>
    </row>
    <row r="37" spans="1:23">
      <c r="A37" s="38"/>
      <c r="B37" s="124"/>
      <c r="C37" s="63" t="s">
        <v>111</v>
      </c>
      <c r="D37" s="64">
        <v>0</v>
      </c>
      <c r="E37" s="64">
        <v>2500</v>
      </c>
      <c r="F37" s="65">
        <f t="shared" si="14"/>
        <v>0</v>
      </c>
      <c r="G37" s="88"/>
      <c r="H37" s="110"/>
      <c r="I37" s="124"/>
      <c r="J37" s="63" t="s">
        <v>111</v>
      </c>
      <c r="K37" s="64">
        <v>0</v>
      </c>
      <c r="L37" s="64">
        <v>2500</v>
      </c>
      <c r="M37" s="65">
        <f t="shared" si="15"/>
        <v>0</v>
      </c>
      <c r="N37" s="88"/>
      <c r="P37" s="20">
        <f t="shared" si="16"/>
        <v>0</v>
      </c>
      <c r="Q37" s="20">
        <f t="shared" si="17"/>
        <v>500</v>
      </c>
      <c r="R37" s="20">
        <f t="shared" si="18"/>
        <v>500</v>
      </c>
      <c r="U37" s="20">
        <f t="shared" si="19"/>
        <v>0</v>
      </c>
      <c r="V37" s="20">
        <f t="shared" si="20"/>
        <v>500</v>
      </c>
      <c r="W37" s="20">
        <f t="shared" si="21"/>
        <v>500</v>
      </c>
    </row>
    <row r="38" spans="1:23">
      <c r="A38" s="38"/>
      <c r="B38" s="125"/>
      <c r="C38" s="66" t="s">
        <v>64</v>
      </c>
      <c r="D38" s="67">
        <f>SUM(D32:D37)</f>
        <v>6800</v>
      </c>
      <c r="E38" s="67">
        <f>SUM(E32:E37)</f>
        <v>58820</v>
      </c>
      <c r="F38" s="68">
        <f>SUM(F32:F37)</f>
        <v>52050</v>
      </c>
      <c r="G38" s="88"/>
      <c r="H38" s="110"/>
      <c r="I38" s="125"/>
      <c r="J38" s="66" t="s">
        <v>64</v>
      </c>
      <c r="K38" s="67">
        <f>SUM(K32:K37)</f>
        <v>6800</v>
      </c>
      <c r="L38" s="67">
        <f>SUM(L32:L37)</f>
        <v>17500</v>
      </c>
      <c r="M38" s="68">
        <f>SUM(M32:M37)</f>
        <v>0</v>
      </c>
      <c r="N38" s="88"/>
      <c r="P38" s="90">
        <f t="shared" si="16"/>
        <v>1360</v>
      </c>
      <c r="Q38" s="90">
        <f t="shared" si="17"/>
        <v>11764</v>
      </c>
      <c r="R38" s="90">
        <f t="shared" si="18"/>
        <v>13124</v>
      </c>
      <c r="U38" s="90">
        <f t="shared" si="19"/>
        <v>1360</v>
      </c>
      <c r="V38" s="90">
        <f t="shared" si="20"/>
        <v>3500</v>
      </c>
      <c r="W38" s="90">
        <f t="shared" si="21"/>
        <v>4860</v>
      </c>
    </row>
    <row r="39" spans="1:23">
      <c r="A39" s="38"/>
      <c r="B39" s="126" t="s">
        <v>114</v>
      </c>
      <c r="C39" s="69" t="s">
        <v>105</v>
      </c>
      <c r="D39" s="70">
        <f>$B41*50</f>
        <v>2000</v>
      </c>
      <c r="E39" s="70">
        <f>$B43*4500</f>
        <v>18000</v>
      </c>
      <c r="F39" s="71">
        <f t="shared" ref="F39:F44" si="22">IF(G39="X",E39+D39,0)</f>
        <v>20000</v>
      </c>
      <c r="G39" s="88" t="s">
        <v>118</v>
      </c>
      <c r="H39" s="110"/>
      <c r="I39" s="126" t="s">
        <v>114</v>
      </c>
      <c r="J39" s="69" t="s">
        <v>105</v>
      </c>
      <c r="K39" s="70">
        <f>$I41*50</f>
        <v>2000</v>
      </c>
      <c r="L39" s="70">
        <v>5000</v>
      </c>
      <c r="M39" s="71">
        <f t="shared" ref="M39:M44" si="23">IF(N39="X",L39+K39,0)</f>
        <v>0</v>
      </c>
      <c r="N39" s="88"/>
      <c r="P39" s="20">
        <f t="shared" si="16"/>
        <v>400</v>
      </c>
      <c r="Q39" s="20">
        <f t="shared" si="17"/>
        <v>3600</v>
      </c>
      <c r="R39" s="20">
        <f t="shared" si="18"/>
        <v>4000</v>
      </c>
      <c r="U39" s="20">
        <f t="shared" si="19"/>
        <v>400</v>
      </c>
      <c r="V39" s="20">
        <f t="shared" si="20"/>
        <v>1000</v>
      </c>
      <c r="W39" s="20">
        <f t="shared" si="21"/>
        <v>1400</v>
      </c>
    </row>
    <row r="40" spans="1:23">
      <c r="A40" s="38"/>
      <c r="B40" s="127" t="s">
        <v>117</v>
      </c>
      <c r="C40" s="69" t="s">
        <v>106</v>
      </c>
      <c r="D40" s="70">
        <f>$B41*50</f>
        <v>2000</v>
      </c>
      <c r="E40" s="70">
        <f>$B43*4600</f>
        <v>18400</v>
      </c>
      <c r="F40" s="71">
        <f t="shared" si="22"/>
        <v>20400</v>
      </c>
      <c r="G40" s="88" t="s">
        <v>118</v>
      </c>
      <c r="H40" s="110"/>
      <c r="I40" s="127" t="s">
        <v>117</v>
      </c>
      <c r="J40" s="69" t="s">
        <v>106</v>
      </c>
      <c r="K40" s="70">
        <f>$I41*50</f>
        <v>2000</v>
      </c>
      <c r="L40" s="70">
        <v>4000</v>
      </c>
      <c r="M40" s="71">
        <f t="shared" si="23"/>
        <v>0</v>
      </c>
      <c r="N40" s="88"/>
      <c r="P40" s="20">
        <f t="shared" si="16"/>
        <v>400</v>
      </c>
      <c r="Q40" s="20">
        <f t="shared" si="17"/>
        <v>3680</v>
      </c>
      <c r="R40" s="20">
        <f t="shared" si="18"/>
        <v>4080</v>
      </c>
      <c r="U40" s="20">
        <f t="shared" si="19"/>
        <v>400</v>
      </c>
      <c r="V40" s="20">
        <f t="shared" si="20"/>
        <v>800</v>
      </c>
      <c r="W40" s="20">
        <f t="shared" si="21"/>
        <v>1200</v>
      </c>
    </row>
    <row r="41" spans="1:23">
      <c r="A41" s="38"/>
      <c r="B41" s="127">
        <v>40</v>
      </c>
      <c r="C41" s="69" t="s">
        <v>9</v>
      </c>
      <c r="D41" s="70">
        <f>$B41*8</f>
        <v>320</v>
      </c>
      <c r="E41" s="70">
        <f>$B43*1550</f>
        <v>6200</v>
      </c>
      <c r="F41" s="71">
        <f t="shared" si="22"/>
        <v>6520</v>
      </c>
      <c r="G41" s="88" t="s">
        <v>118</v>
      </c>
      <c r="H41" s="110"/>
      <c r="I41" s="127">
        <v>40</v>
      </c>
      <c r="J41" s="69" t="s">
        <v>9</v>
      </c>
      <c r="K41" s="70">
        <f>$I41*8</f>
        <v>320</v>
      </c>
      <c r="L41" s="70">
        <v>2000</v>
      </c>
      <c r="M41" s="71">
        <f t="shared" si="23"/>
        <v>0</v>
      </c>
      <c r="N41" s="88"/>
      <c r="P41" s="20">
        <f t="shared" si="16"/>
        <v>64</v>
      </c>
      <c r="Q41" s="20">
        <f t="shared" si="17"/>
        <v>1240</v>
      </c>
      <c r="R41" s="20">
        <f t="shared" si="18"/>
        <v>1304</v>
      </c>
      <c r="U41" s="20">
        <f t="shared" si="19"/>
        <v>64</v>
      </c>
      <c r="V41" s="20">
        <f t="shared" si="20"/>
        <v>400</v>
      </c>
      <c r="W41" s="20">
        <f t="shared" si="21"/>
        <v>464</v>
      </c>
    </row>
    <row r="42" spans="1:23">
      <c r="A42" s="38"/>
      <c r="B42" s="127" t="s">
        <v>119</v>
      </c>
      <c r="C42" s="69" t="s">
        <v>107</v>
      </c>
      <c r="D42" s="70">
        <f>$B41*15</f>
        <v>600</v>
      </c>
      <c r="E42" s="70">
        <f>$B43*2580</f>
        <v>10320</v>
      </c>
      <c r="F42" s="71">
        <f t="shared" si="22"/>
        <v>10920</v>
      </c>
      <c r="G42" s="88" t="s">
        <v>118</v>
      </c>
      <c r="H42" s="110"/>
      <c r="I42" s="127" t="s">
        <v>119</v>
      </c>
      <c r="J42" s="69" t="s">
        <v>107</v>
      </c>
      <c r="K42" s="70">
        <f>$I41*15</f>
        <v>600</v>
      </c>
      <c r="L42" s="70">
        <v>2000</v>
      </c>
      <c r="M42" s="71">
        <f t="shared" si="23"/>
        <v>0</v>
      </c>
      <c r="N42" s="88"/>
      <c r="P42" s="20">
        <f t="shared" si="16"/>
        <v>120</v>
      </c>
      <c r="Q42" s="20">
        <f t="shared" si="17"/>
        <v>2064</v>
      </c>
      <c r="R42" s="20">
        <f t="shared" si="18"/>
        <v>2184</v>
      </c>
      <c r="U42" s="20">
        <f t="shared" si="19"/>
        <v>120</v>
      </c>
      <c r="V42" s="20">
        <f t="shared" si="20"/>
        <v>400</v>
      </c>
      <c r="W42" s="20">
        <f t="shared" si="21"/>
        <v>520</v>
      </c>
    </row>
    <row r="43" spans="1:23">
      <c r="A43" s="38"/>
      <c r="B43" s="127">
        <v>4</v>
      </c>
      <c r="C43" s="69" t="s">
        <v>108</v>
      </c>
      <c r="D43" s="70">
        <f>$B41*13</f>
        <v>520</v>
      </c>
      <c r="E43" s="70">
        <f>$B43*850</f>
        <v>3400</v>
      </c>
      <c r="F43" s="71">
        <f t="shared" si="22"/>
        <v>0</v>
      </c>
      <c r="G43" s="88"/>
      <c r="H43" s="110"/>
      <c r="I43" s="127">
        <v>4</v>
      </c>
      <c r="J43" s="69" t="s">
        <v>108</v>
      </c>
      <c r="K43" s="70">
        <f>$I41*13</f>
        <v>520</v>
      </c>
      <c r="L43" s="70">
        <v>2000</v>
      </c>
      <c r="M43" s="71">
        <f t="shared" si="23"/>
        <v>0</v>
      </c>
      <c r="N43" s="88"/>
      <c r="P43" s="20">
        <f t="shared" si="16"/>
        <v>104</v>
      </c>
      <c r="Q43" s="20">
        <f t="shared" si="17"/>
        <v>680</v>
      </c>
      <c r="R43" s="20">
        <f t="shared" si="18"/>
        <v>784</v>
      </c>
      <c r="U43" s="20">
        <f t="shared" si="19"/>
        <v>104</v>
      </c>
      <c r="V43" s="20">
        <f t="shared" si="20"/>
        <v>400</v>
      </c>
      <c r="W43" s="20">
        <f t="shared" si="21"/>
        <v>504</v>
      </c>
    </row>
    <row r="44" spans="1:23">
      <c r="A44" s="38"/>
      <c r="B44" s="127"/>
      <c r="C44" s="69" t="s">
        <v>111</v>
      </c>
      <c r="D44" s="70">
        <v>0</v>
      </c>
      <c r="E44" s="70">
        <v>2500</v>
      </c>
      <c r="F44" s="71">
        <f t="shared" si="22"/>
        <v>2500</v>
      </c>
      <c r="G44" s="88" t="s">
        <v>118</v>
      </c>
      <c r="H44" s="110"/>
      <c r="I44" s="127"/>
      <c r="J44" s="69" t="s">
        <v>111</v>
      </c>
      <c r="K44" s="70">
        <v>0</v>
      </c>
      <c r="L44" s="70">
        <v>2500</v>
      </c>
      <c r="M44" s="71">
        <f t="shared" si="23"/>
        <v>0</v>
      </c>
      <c r="N44" s="88"/>
      <c r="P44" s="20">
        <f t="shared" si="16"/>
        <v>0</v>
      </c>
      <c r="Q44" s="20">
        <f t="shared" si="17"/>
        <v>500</v>
      </c>
      <c r="R44" s="20">
        <f t="shared" si="18"/>
        <v>500</v>
      </c>
      <c r="U44" s="20">
        <f t="shared" si="19"/>
        <v>0</v>
      </c>
      <c r="V44" s="20">
        <f t="shared" si="20"/>
        <v>500</v>
      </c>
      <c r="W44" s="20">
        <f t="shared" si="21"/>
        <v>500</v>
      </c>
    </row>
    <row r="45" spans="1:23">
      <c r="A45" s="38"/>
      <c r="B45" s="128"/>
      <c r="C45" s="72" t="s">
        <v>64</v>
      </c>
      <c r="D45" s="73">
        <f>SUM(D39:D44)</f>
        <v>5440</v>
      </c>
      <c r="E45" s="73">
        <f>SUM(E39:E44)</f>
        <v>58820</v>
      </c>
      <c r="F45" s="74">
        <f>SUM(F39:F44)</f>
        <v>60340</v>
      </c>
      <c r="G45" s="88"/>
      <c r="H45" s="110"/>
      <c r="I45" s="128"/>
      <c r="J45" s="72" t="s">
        <v>64</v>
      </c>
      <c r="K45" s="73">
        <f>SUM(K39:K44)</f>
        <v>5440</v>
      </c>
      <c r="L45" s="73">
        <f>SUM(L39:L44)</f>
        <v>17500</v>
      </c>
      <c r="M45" s="74">
        <f>SUM(M39:M44)</f>
        <v>0</v>
      </c>
      <c r="N45" s="88"/>
      <c r="P45" s="90">
        <f t="shared" si="16"/>
        <v>1088</v>
      </c>
      <c r="Q45" s="90">
        <f t="shared" si="17"/>
        <v>11764</v>
      </c>
      <c r="R45" s="90">
        <f t="shared" si="18"/>
        <v>12852</v>
      </c>
      <c r="U45" s="90">
        <f t="shared" si="19"/>
        <v>1088</v>
      </c>
      <c r="V45" s="90">
        <f t="shared" si="20"/>
        <v>3500</v>
      </c>
      <c r="W45" s="90">
        <f t="shared" si="21"/>
        <v>4588</v>
      </c>
    </row>
    <row r="46" spans="1:23">
      <c r="A46" s="38"/>
      <c r="B46" s="129" t="s">
        <v>115</v>
      </c>
      <c r="C46" s="75" t="s">
        <v>105</v>
      </c>
      <c r="D46" s="76">
        <f>$B48*50</f>
        <v>5500</v>
      </c>
      <c r="E46" s="76">
        <f>$B50*4500</f>
        <v>18000</v>
      </c>
      <c r="F46" s="77">
        <f t="shared" ref="F46:F51" si="24">IF(G46="X",E46+D46,0)</f>
        <v>0</v>
      </c>
      <c r="G46" s="88"/>
      <c r="H46" s="110"/>
      <c r="I46" s="129" t="s">
        <v>115</v>
      </c>
      <c r="J46" s="75" t="s">
        <v>105</v>
      </c>
      <c r="K46" s="76">
        <f>$I48*50</f>
        <v>5500</v>
      </c>
      <c r="L46" s="76">
        <v>5000</v>
      </c>
      <c r="M46" s="77">
        <f t="shared" ref="M46:M51" si="25">IF(N46="X",L46+K46,0)</f>
        <v>10500</v>
      </c>
      <c r="N46" s="88" t="s">
        <v>118</v>
      </c>
      <c r="P46" s="20">
        <f t="shared" si="16"/>
        <v>1100</v>
      </c>
      <c r="Q46" s="20">
        <f t="shared" si="17"/>
        <v>3600</v>
      </c>
      <c r="R46" s="20">
        <f t="shared" si="18"/>
        <v>4700</v>
      </c>
      <c r="U46" s="20">
        <f t="shared" si="19"/>
        <v>1100</v>
      </c>
      <c r="V46" s="20">
        <f t="shared" si="20"/>
        <v>1000</v>
      </c>
      <c r="W46" s="20">
        <f t="shared" si="21"/>
        <v>2100</v>
      </c>
    </row>
    <row r="47" spans="1:23">
      <c r="A47" s="38"/>
      <c r="B47" s="130" t="s">
        <v>117</v>
      </c>
      <c r="C47" s="75" t="s">
        <v>106</v>
      </c>
      <c r="D47" s="76">
        <f>$B48*50</f>
        <v>5500</v>
      </c>
      <c r="E47" s="76">
        <f>$B50*4600</f>
        <v>18400</v>
      </c>
      <c r="F47" s="77">
        <f t="shared" si="24"/>
        <v>0</v>
      </c>
      <c r="G47" s="88"/>
      <c r="H47" s="110"/>
      <c r="I47" s="130" t="s">
        <v>117</v>
      </c>
      <c r="J47" s="75" t="s">
        <v>106</v>
      </c>
      <c r="K47" s="76">
        <f>$I48*50</f>
        <v>5500</v>
      </c>
      <c r="L47" s="76">
        <v>4000</v>
      </c>
      <c r="M47" s="77">
        <f t="shared" si="25"/>
        <v>9500</v>
      </c>
      <c r="N47" s="88" t="s">
        <v>118</v>
      </c>
      <c r="P47" s="20">
        <f t="shared" si="16"/>
        <v>1100</v>
      </c>
      <c r="Q47" s="20">
        <f t="shared" si="17"/>
        <v>3680</v>
      </c>
      <c r="R47" s="20">
        <f t="shared" si="18"/>
        <v>4780</v>
      </c>
      <c r="U47" s="20">
        <f t="shared" si="19"/>
        <v>1100</v>
      </c>
      <c r="V47" s="20">
        <f t="shared" si="20"/>
        <v>800</v>
      </c>
      <c r="W47" s="20">
        <f t="shared" si="21"/>
        <v>1900</v>
      </c>
    </row>
    <row r="48" spans="1:23">
      <c r="A48" s="38"/>
      <c r="B48" s="130">
        <v>110</v>
      </c>
      <c r="C48" s="75" t="s">
        <v>9</v>
      </c>
      <c r="D48" s="76">
        <f>$B48*8</f>
        <v>880</v>
      </c>
      <c r="E48" s="76">
        <f>$B50*1550</f>
        <v>6200</v>
      </c>
      <c r="F48" s="77">
        <f t="shared" si="24"/>
        <v>0</v>
      </c>
      <c r="G48" s="88"/>
      <c r="H48" s="110"/>
      <c r="I48" s="130">
        <v>110</v>
      </c>
      <c r="J48" s="75" t="s">
        <v>9</v>
      </c>
      <c r="K48" s="76">
        <f>$I48*8</f>
        <v>880</v>
      </c>
      <c r="L48" s="76">
        <v>2000</v>
      </c>
      <c r="M48" s="77">
        <f t="shared" si="25"/>
        <v>0</v>
      </c>
      <c r="N48" s="88"/>
      <c r="P48" s="20">
        <f t="shared" si="16"/>
        <v>176</v>
      </c>
      <c r="Q48" s="20">
        <f t="shared" si="17"/>
        <v>1240</v>
      </c>
      <c r="R48" s="20">
        <f t="shared" si="18"/>
        <v>1416</v>
      </c>
      <c r="U48" s="20">
        <f t="shared" si="19"/>
        <v>176</v>
      </c>
      <c r="V48" s="20">
        <f t="shared" si="20"/>
        <v>400</v>
      </c>
      <c r="W48" s="20">
        <f t="shared" si="21"/>
        <v>576</v>
      </c>
    </row>
    <row r="49" spans="1:23">
      <c r="A49" s="38"/>
      <c r="B49" s="130" t="s">
        <v>119</v>
      </c>
      <c r="C49" s="75" t="s">
        <v>107</v>
      </c>
      <c r="D49" s="76">
        <f>$B48*15</f>
        <v>1650</v>
      </c>
      <c r="E49" s="76">
        <f>$B50*2580</f>
        <v>10320</v>
      </c>
      <c r="F49" s="77">
        <f t="shared" si="24"/>
        <v>0</v>
      </c>
      <c r="G49" s="88"/>
      <c r="H49" s="110"/>
      <c r="I49" s="130" t="s">
        <v>119</v>
      </c>
      <c r="J49" s="75" t="s">
        <v>107</v>
      </c>
      <c r="K49" s="76">
        <f>$I48*15</f>
        <v>1650</v>
      </c>
      <c r="L49" s="76">
        <v>2000</v>
      </c>
      <c r="M49" s="77">
        <f t="shared" si="25"/>
        <v>0</v>
      </c>
      <c r="N49" s="88"/>
      <c r="P49" s="20">
        <f t="shared" si="16"/>
        <v>330</v>
      </c>
      <c r="Q49" s="20">
        <f t="shared" si="17"/>
        <v>2064</v>
      </c>
      <c r="R49" s="20">
        <f t="shared" si="18"/>
        <v>2394</v>
      </c>
      <c r="U49" s="20">
        <f t="shared" si="19"/>
        <v>330</v>
      </c>
      <c r="V49" s="20">
        <f t="shared" si="20"/>
        <v>400</v>
      </c>
      <c r="W49" s="20">
        <f t="shared" si="21"/>
        <v>730</v>
      </c>
    </row>
    <row r="50" spans="1:23">
      <c r="A50" s="38"/>
      <c r="B50" s="130">
        <v>4</v>
      </c>
      <c r="C50" s="75" t="s">
        <v>108</v>
      </c>
      <c r="D50" s="76">
        <f>$B48*13</f>
        <v>1430</v>
      </c>
      <c r="E50" s="76">
        <f>$B50*850</f>
        <v>3400</v>
      </c>
      <c r="F50" s="77">
        <f t="shared" si="24"/>
        <v>0</v>
      </c>
      <c r="G50" s="88"/>
      <c r="H50" s="110"/>
      <c r="I50" s="130">
        <v>4</v>
      </c>
      <c r="J50" s="75" t="s">
        <v>108</v>
      </c>
      <c r="K50" s="76">
        <f>$I48*13</f>
        <v>1430</v>
      </c>
      <c r="L50" s="76">
        <v>2000</v>
      </c>
      <c r="M50" s="77">
        <f t="shared" si="25"/>
        <v>3430</v>
      </c>
      <c r="N50" s="88" t="s">
        <v>118</v>
      </c>
      <c r="P50" s="20">
        <f t="shared" si="16"/>
        <v>286</v>
      </c>
      <c r="Q50" s="20">
        <f t="shared" si="17"/>
        <v>680</v>
      </c>
      <c r="R50" s="20">
        <f t="shared" si="18"/>
        <v>966</v>
      </c>
      <c r="U50" s="20">
        <f t="shared" si="19"/>
        <v>286</v>
      </c>
      <c r="V50" s="20">
        <f t="shared" si="20"/>
        <v>400</v>
      </c>
      <c r="W50" s="20">
        <f t="shared" si="21"/>
        <v>686</v>
      </c>
    </row>
    <row r="51" spans="1:23">
      <c r="A51" s="38"/>
      <c r="B51" s="130"/>
      <c r="C51" s="75" t="s">
        <v>111</v>
      </c>
      <c r="D51" s="76">
        <v>0</v>
      </c>
      <c r="E51" s="76">
        <v>2500</v>
      </c>
      <c r="F51" s="77">
        <f t="shared" si="24"/>
        <v>0</v>
      </c>
      <c r="G51" s="88"/>
      <c r="H51" s="110"/>
      <c r="I51" s="130"/>
      <c r="J51" s="75" t="s">
        <v>111</v>
      </c>
      <c r="K51" s="76">
        <v>0</v>
      </c>
      <c r="L51" s="76">
        <v>2500</v>
      </c>
      <c r="M51" s="77">
        <f t="shared" si="25"/>
        <v>0</v>
      </c>
      <c r="N51" s="88"/>
      <c r="P51" s="20">
        <f t="shared" si="16"/>
        <v>0</v>
      </c>
      <c r="Q51" s="20">
        <f t="shared" si="17"/>
        <v>500</v>
      </c>
      <c r="R51" s="20">
        <f t="shared" si="18"/>
        <v>500</v>
      </c>
      <c r="U51" s="20">
        <f t="shared" si="19"/>
        <v>0</v>
      </c>
      <c r="V51" s="20">
        <f t="shared" si="20"/>
        <v>500</v>
      </c>
      <c r="W51" s="20">
        <f t="shared" si="21"/>
        <v>500</v>
      </c>
    </row>
    <row r="52" spans="1:23">
      <c r="A52" s="38"/>
      <c r="B52" s="131"/>
      <c r="C52" s="78" t="s">
        <v>64</v>
      </c>
      <c r="D52" s="79">
        <f>SUM(D46:D51)</f>
        <v>14960</v>
      </c>
      <c r="E52" s="79">
        <f>SUM(E46:E51)</f>
        <v>58820</v>
      </c>
      <c r="F52" s="80">
        <f>SUM(F46:F51)</f>
        <v>0</v>
      </c>
      <c r="G52" s="88"/>
      <c r="H52" s="110"/>
      <c r="I52" s="131"/>
      <c r="J52" s="78" t="s">
        <v>64</v>
      </c>
      <c r="K52" s="79">
        <f>SUM(K46:K51)</f>
        <v>14960</v>
      </c>
      <c r="L52" s="79">
        <f>SUM(L46:L51)</f>
        <v>17500</v>
      </c>
      <c r="M52" s="80">
        <f>SUM(M46:M51)</f>
        <v>23430</v>
      </c>
      <c r="N52" s="88"/>
      <c r="P52" s="90">
        <f t="shared" si="16"/>
        <v>2992</v>
      </c>
      <c r="Q52" s="90">
        <f t="shared" si="17"/>
        <v>11764</v>
      </c>
      <c r="R52" s="90">
        <f t="shared" si="18"/>
        <v>14756</v>
      </c>
      <c r="U52" s="90">
        <f t="shared" si="19"/>
        <v>2992</v>
      </c>
      <c r="V52" s="90">
        <f t="shared" si="20"/>
        <v>3500</v>
      </c>
      <c r="W52" s="90">
        <f t="shared" si="21"/>
        <v>6492</v>
      </c>
    </row>
    <row r="53" spans="1:23">
      <c r="A53" s="38"/>
      <c r="B53" s="132" t="s">
        <v>116</v>
      </c>
      <c r="C53" s="81" t="s">
        <v>105</v>
      </c>
      <c r="D53" s="82">
        <f>$B55*50</f>
        <v>1500</v>
      </c>
      <c r="E53" s="82">
        <f>$B57*4500</f>
        <v>18000</v>
      </c>
      <c r="F53" s="83">
        <f t="shared" ref="F53:F58" si="26">IF(G53="X",E53+D53,0)</f>
        <v>0</v>
      </c>
      <c r="G53" s="88"/>
      <c r="H53" s="110"/>
      <c r="I53" s="132" t="s">
        <v>116</v>
      </c>
      <c r="J53" s="81" t="s">
        <v>105</v>
      </c>
      <c r="K53" s="82">
        <f>$I55*50</f>
        <v>1500</v>
      </c>
      <c r="L53" s="82">
        <v>5000</v>
      </c>
      <c r="M53" s="83">
        <f t="shared" ref="M53:M58" si="27">IF(N53="X",L53+K53,0)</f>
        <v>6500</v>
      </c>
      <c r="N53" s="88" t="s">
        <v>118</v>
      </c>
      <c r="P53" s="20">
        <f t="shared" si="16"/>
        <v>300</v>
      </c>
      <c r="Q53" s="20">
        <f t="shared" si="17"/>
        <v>3600</v>
      </c>
      <c r="R53" s="20">
        <f t="shared" si="18"/>
        <v>3900</v>
      </c>
      <c r="U53" s="20">
        <f t="shared" si="19"/>
        <v>300</v>
      </c>
      <c r="V53" s="20">
        <f t="shared" si="20"/>
        <v>1000</v>
      </c>
      <c r="W53" s="20">
        <f t="shared" si="21"/>
        <v>1300</v>
      </c>
    </row>
    <row r="54" spans="1:23">
      <c r="A54" s="38"/>
      <c r="B54" s="133" t="s">
        <v>117</v>
      </c>
      <c r="C54" s="81" t="s">
        <v>106</v>
      </c>
      <c r="D54" s="82">
        <f>$B55*50</f>
        <v>1500</v>
      </c>
      <c r="E54" s="82">
        <f>$B57*4600</f>
        <v>18400</v>
      </c>
      <c r="F54" s="83">
        <f t="shared" si="26"/>
        <v>0</v>
      </c>
      <c r="G54" s="88"/>
      <c r="H54" s="110"/>
      <c r="I54" s="133" t="s">
        <v>117</v>
      </c>
      <c r="J54" s="81" t="s">
        <v>106</v>
      </c>
      <c r="K54" s="82">
        <f>$I55*50</f>
        <v>1500</v>
      </c>
      <c r="L54" s="82">
        <v>4000</v>
      </c>
      <c r="M54" s="83">
        <f t="shared" si="27"/>
        <v>5500</v>
      </c>
      <c r="N54" s="88" t="s">
        <v>118</v>
      </c>
      <c r="P54" s="20">
        <f t="shared" si="16"/>
        <v>300</v>
      </c>
      <c r="Q54" s="20">
        <f t="shared" si="17"/>
        <v>3680</v>
      </c>
      <c r="R54" s="20">
        <f t="shared" si="18"/>
        <v>3980</v>
      </c>
      <c r="U54" s="20">
        <f t="shared" si="19"/>
        <v>300</v>
      </c>
      <c r="V54" s="20">
        <f t="shared" si="20"/>
        <v>800</v>
      </c>
      <c r="W54" s="20">
        <f t="shared" si="21"/>
        <v>1100</v>
      </c>
    </row>
    <row r="55" spans="1:23">
      <c r="A55" s="38"/>
      <c r="B55" s="133">
        <v>30</v>
      </c>
      <c r="C55" s="81" t="s">
        <v>9</v>
      </c>
      <c r="D55" s="82">
        <f>$B55*8</f>
        <v>240</v>
      </c>
      <c r="E55" s="82">
        <f>$B57*1550</f>
        <v>6200</v>
      </c>
      <c r="F55" s="83">
        <f t="shared" si="26"/>
        <v>0</v>
      </c>
      <c r="G55" s="88"/>
      <c r="H55" s="110"/>
      <c r="I55" s="133">
        <v>30</v>
      </c>
      <c r="J55" s="81" t="s">
        <v>9</v>
      </c>
      <c r="K55" s="82">
        <f>$I55*8</f>
        <v>240</v>
      </c>
      <c r="L55" s="82">
        <v>2000</v>
      </c>
      <c r="M55" s="83">
        <f t="shared" si="27"/>
        <v>2240</v>
      </c>
      <c r="N55" s="88" t="s">
        <v>118</v>
      </c>
      <c r="P55" s="20">
        <f t="shared" si="16"/>
        <v>48</v>
      </c>
      <c r="Q55" s="20">
        <f t="shared" si="17"/>
        <v>1240</v>
      </c>
      <c r="R55" s="20">
        <f t="shared" si="18"/>
        <v>1288</v>
      </c>
      <c r="U55" s="20">
        <f t="shared" si="19"/>
        <v>48</v>
      </c>
      <c r="V55" s="20">
        <f t="shared" si="20"/>
        <v>400</v>
      </c>
      <c r="W55" s="20">
        <f t="shared" si="21"/>
        <v>448</v>
      </c>
    </row>
    <row r="56" spans="1:23">
      <c r="A56" s="38"/>
      <c r="B56" s="133" t="s">
        <v>119</v>
      </c>
      <c r="C56" s="81" t="s">
        <v>107</v>
      </c>
      <c r="D56" s="82">
        <f>$B55*15</f>
        <v>450</v>
      </c>
      <c r="E56" s="82">
        <f>$B57*2580</f>
        <v>10320</v>
      </c>
      <c r="F56" s="83">
        <f t="shared" si="26"/>
        <v>0</v>
      </c>
      <c r="G56" s="88"/>
      <c r="H56" s="110"/>
      <c r="I56" s="133" t="s">
        <v>119</v>
      </c>
      <c r="J56" s="81" t="s">
        <v>107</v>
      </c>
      <c r="K56" s="82">
        <f>$I55*15</f>
        <v>450</v>
      </c>
      <c r="L56" s="82">
        <v>2000</v>
      </c>
      <c r="M56" s="83">
        <f t="shared" si="27"/>
        <v>2450</v>
      </c>
      <c r="N56" s="88" t="s">
        <v>118</v>
      </c>
      <c r="P56" s="20">
        <f t="shared" si="16"/>
        <v>90</v>
      </c>
      <c r="Q56" s="20">
        <f t="shared" si="17"/>
        <v>2064</v>
      </c>
      <c r="R56" s="20">
        <f t="shared" si="18"/>
        <v>2154</v>
      </c>
      <c r="U56" s="20">
        <f t="shared" si="19"/>
        <v>90</v>
      </c>
      <c r="V56" s="20">
        <f t="shared" si="20"/>
        <v>400</v>
      </c>
      <c r="W56" s="20">
        <f t="shared" si="21"/>
        <v>490</v>
      </c>
    </row>
    <row r="57" spans="1:23">
      <c r="A57" s="38"/>
      <c r="B57" s="133">
        <v>4</v>
      </c>
      <c r="C57" s="81" t="s">
        <v>108</v>
      </c>
      <c r="D57" s="82">
        <f>$B55*13</f>
        <v>390</v>
      </c>
      <c r="E57" s="82">
        <f>$B57*850</f>
        <v>3400</v>
      </c>
      <c r="F57" s="83">
        <f t="shared" si="26"/>
        <v>0</v>
      </c>
      <c r="G57" s="88"/>
      <c r="H57" s="110"/>
      <c r="I57" s="133">
        <v>4</v>
      </c>
      <c r="J57" s="81" t="s">
        <v>108</v>
      </c>
      <c r="K57" s="82">
        <f>$I55*13</f>
        <v>390</v>
      </c>
      <c r="L57" s="82">
        <v>2000</v>
      </c>
      <c r="M57" s="83">
        <f t="shared" si="27"/>
        <v>2390</v>
      </c>
      <c r="N57" s="88" t="s">
        <v>118</v>
      </c>
      <c r="P57" s="20">
        <f t="shared" si="16"/>
        <v>78</v>
      </c>
      <c r="Q57" s="20">
        <f t="shared" si="17"/>
        <v>680</v>
      </c>
      <c r="R57" s="20">
        <f t="shared" si="18"/>
        <v>758</v>
      </c>
      <c r="U57" s="20">
        <f t="shared" si="19"/>
        <v>78</v>
      </c>
      <c r="V57" s="20">
        <f t="shared" si="20"/>
        <v>400</v>
      </c>
      <c r="W57" s="20">
        <f t="shared" si="21"/>
        <v>478</v>
      </c>
    </row>
    <row r="58" spans="1:23">
      <c r="A58" s="38"/>
      <c r="B58" s="133"/>
      <c r="C58" s="81" t="s">
        <v>111</v>
      </c>
      <c r="D58" s="82">
        <v>0</v>
      </c>
      <c r="E58" s="82">
        <v>2500</v>
      </c>
      <c r="F58" s="83">
        <f t="shared" si="26"/>
        <v>0</v>
      </c>
      <c r="G58" s="88"/>
      <c r="H58" s="110"/>
      <c r="I58" s="133"/>
      <c r="J58" s="81" t="s">
        <v>111</v>
      </c>
      <c r="K58" s="82">
        <v>0</v>
      </c>
      <c r="L58" s="82">
        <v>2500</v>
      </c>
      <c r="M58" s="83">
        <f t="shared" si="27"/>
        <v>2500</v>
      </c>
      <c r="N58" s="88" t="s">
        <v>118</v>
      </c>
      <c r="P58" s="20">
        <f t="shared" si="16"/>
        <v>0</v>
      </c>
      <c r="Q58" s="20">
        <f t="shared" si="17"/>
        <v>500</v>
      </c>
      <c r="R58" s="20">
        <f t="shared" si="18"/>
        <v>500</v>
      </c>
      <c r="U58" s="20">
        <f t="shared" si="19"/>
        <v>0</v>
      </c>
      <c r="V58" s="20">
        <f t="shared" si="20"/>
        <v>500</v>
      </c>
      <c r="W58" s="20">
        <f t="shared" si="21"/>
        <v>500</v>
      </c>
    </row>
    <row r="59" spans="1:23">
      <c r="A59" s="38"/>
      <c r="B59" s="134"/>
      <c r="C59" s="84" t="s">
        <v>64</v>
      </c>
      <c r="D59" s="85">
        <f>SUM(D53:D58)</f>
        <v>4080</v>
      </c>
      <c r="E59" s="85">
        <f>SUM(E53:E58)</f>
        <v>58820</v>
      </c>
      <c r="F59" s="86">
        <f>SUM(F53:F58)</f>
        <v>0</v>
      </c>
      <c r="G59" s="88"/>
      <c r="H59" s="110"/>
      <c r="I59" s="134"/>
      <c r="J59" s="84" t="s">
        <v>64</v>
      </c>
      <c r="K59" s="85">
        <f>SUM(K53:K58)</f>
        <v>4080</v>
      </c>
      <c r="L59" s="85">
        <f>SUM(L53:L58)</f>
        <v>17500</v>
      </c>
      <c r="M59" s="86">
        <f>SUM(M53:M58)</f>
        <v>21580</v>
      </c>
      <c r="N59" s="88"/>
      <c r="P59" s="90">
        <f t="shared" si="16"/>
        <v>816</v>
      </c>
      <c r="Q59" s="90">
        <f t="shared" si="17"/>
        <v>11764</v>
      </c>
      <c r="R59" s="90">
        <f t="shared" si="18"/>
        <v>12580</v>
      </c>
      <c r="U59" s="90">
        <f t="shared" si="19"/>
        <v>816</v>
      </c>
      <c r="V59" s="90">
        <f t="shared" si="20"/>
        <v>3500</v>
      </c>
      <c r="W59" s="90">
        <f t="shared" si="21"/>
        <v>4316</v>
      </c>
    </row>
    <row r="62" spans="1:23">
      <c r="B62" s="31" t="s">
        <v>121</v>
      </c>
    </row>
    <row r="63" spans="1:23">
      <c r="B63" s="31" t="s">
        <v>122</v>
      </c>
    </row>
    <row r="64" spans="1:23">
      <c r="B64" s="31" t="s">
        <v>123</v>
      </c>
    </row>
    <row r="66" spans="2:7">
      <c r="B66" s="31" t="s">
        <v>124</v>
      </c>
      <c r="F66" s="20">
        <f>F10+M10+F17+M17+F24+M24+F31+M31+F38+M38+F45+M45+F52+M52+F59+M59</f>
        <v>280320</v>
      </c>
    </row>
    <row r="67" spans="2:7">
      <c r="E67" t="s">
        <v>125</v>
      </c>
      <c r="F67" s="20">
        <f>F66*0.1</f>
        <v>28032</v>
      </c>
      <c r="G67" s="20">
        <f>F66-F67</f>
        <v>252288</v>
      </c>
    </row>
    <row r="68" spans="2:7">
      <c r="E68" t="s">
        <v>127</v>
      </c>
      <c r="F68" s="20">
        <f>F66*0.05</f>
        <v>14016</v>
      </c>
      <c r="G68" s="20">
        <f>F66-F68</f>
        <v>266304</v>
      </c>
    </row>
    <row r="69" spans="2:7">
      <c r="E69" t="s">
        <v>128</v>
      </c>
      <c r="F69" s="20">
        <f>F66*0.03</f>
        <v>8409.6</v>
      </c>
      <c r="G69" s="20">
        <f>F66-F69</f>
        <v>271910.40000000002</v>
      </c>
    </row>
  </sheetData>
  <phoneticPr fontId="3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List3</vt:lpstr>
      <vt:lpstr>Pokus1</vt:lpstr>
      <vt:lpstr>pokus2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sobaniec</cp:lastModifiedBy>
  <cp:lastPrinted>2014-04-25T06:59:23Z</cp:lastPrinted>
  <dcterms:created xsi:type="dcterms:W3CDTF">2013-03-07T14:58:04Z</dcterms:created>
  <dcterms:modified xsi:type="dcterms:W3CDTF">2014-04-25T11:09:24Z</dcterms:modified>
</cp:coreProperties>
</file>